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115" windowHeight="7740" activeTab="1"/>
  </bookViews>
  <sheets>
    <sheet name="отчет 2014" sheetId="3" r:id="rId1"/>
    <sheet name="ОТЧЕТ 2014 (СОДЕРЖАНИЕ)" sheetId="1" r:id="rId2"/>
    <sheet name="на 2015" sheetId="2" r:id="rId3"/>
  </sheets>
  <externalReferences>
    <externalReference r:id="rId4"/>
    <externalReference r:id="rId5"/>
    <externalReference r:id="rId6"/>
  </externalReferences>
  <calcPr calcId="145621" refMode="R1C1"/>
</workbook>
</file>

<file path=xl/calcChain.xml><?xml version="1.0" encoding="utf-8"?>
<calcChain xmlns="http://schemas.openxmlformats.org/spreadsheetml/2006/main">
  <c r="G28" i="3" l="1"/>
  <c r="G27" i="3"/>
  <c r="G26" i="3"/>
  <c r="G20" i="3"/>
  <c r="D20" i="3"/>
  <c r="H20" i="3" s="1"/>
  <c r="C20" i="3"/>
  <c r="F19" i="3"/>
  <c r="E19" i="3"/>
  <c r="D19" i="3"/>
  <c r="G19" i="3" s="1"/>
  <c r="C19" i="3"/>
  <c r="H18" i="3"/>
  <c r="F18" i="3"/>
  <c r="E18" i="3"/>
  <c r="G18" i="3" s="1"/>
  <c r="C18" i="3"/>
  <c r="H17" i="3"/>
  <c r="G17" i="3"/>
  <c r="F17" i="3"/>
  <c r="C17" i="3"/>
  <c r="H16" i="3"/>
  <c r="F16" i="3"/>
  <c r="E16" i="3"/>
  <c r="G16" i="3" s="1"/>
  <c r="C16" i="3"/>
  <c r="H15" i="3"/>
  <c r="F15" i="3"/>
  <c r="E15" i="3"/>
  <c r="G15" i="3" s="1"/>
  <c r="C15" i="3"/>
  <c r="H14" i="3"/>
  <c r="G14" i="3"/>
  <c r="F14" i="3"/>
  <c r="C14" i="3"/>
  <c r="H13" i="3"/>
  <c r="F13" i="3"/>
  <c r="E13" i="3"/>
  <c r="G13" i="3" s="1"/>
  <c r="H12" i="3"/>
  <c r="F12" i="3"/>
  <c r="E12" i="3"/>
  <c r="G12" i="3" s="1"/>
  <c r="C12" i="3"/>
  <c r="H11" i="3"/>
  <c r="F11" i="3"/>
  <c r="E11" i="3"/>
  <c r="G11" i="3" s="1"/>
  <c r="C11" i="3"/>
  <c r="H10" i="3"/>
  <c r="F10" i="3"/>
  <c r="E10" i="3"/>
  <c r="G10" i="3" s="1"/>
  <c r="C10" i="3"/>
  <c r="H9" i="3"/>
  <c r="F9" i="3"/>
  <c r="E9" i="3"/>
  <c r="G9" i="3" s="1"/>
  <c r="F8" i="3"/>
  <c r="F21" i="3" s="1"/>
  <c r="G22" i="3" s="1"/>
  <c r="E8" i="3"/>
  <c r="E21" i="3" s="1"/>
  <c r="D8" i="3"/>
  <c r="D21" i="3" s="1"/>
  <c r="D5" i="3"/>
  <c r="D4" i="3"/>
  <c r="G24" i="3" l="1"/>
  <c r="G23" i="3"/>
  <c r="H8" i="3"/>
  <c r="H21" i="3" s="1"/>
  <c r="C8" i="3"/>
  <c r="C21" i="3" s="1"/>
  <c r="G8" i="3"/>
  <c r="G21" i="3" s="1"/>
  <c r="G25" i="3" s="1"/>
  <c r="G29" i="3" s="1"/>
  <c r="G30" i="3" l="1"/>
  <c r="C44" i="2" l="1"/>
  <c r="F44" i="2" s="1"/>
  <c r="F43" i="2"/>
  <c r="F42" i="2"/>
  <c r="C42" i="2"/>
  <c r="F41" i="2"/>
  <c r="C41" i="2"/>
  <c r="F40" i="2"/>
  <c r="C40" i="2"/>
  <c r="F39" i="2"/>
  <c r="C39" i="2"/>
  <c r="F38" i="2"/>
  <c r="C38" i="2"/>
  <c r="F37" i="2"/>
  <c r="C37" i="2"/>
  <c r="F36" i="2"/>
  <c r="C36" i="2"/>
  <c r="F35" i="2"/>
  <c r="C35" i="2"/>
  <c r="F34" i="2"/>
  <c r="F33" i="2"/>
  <c r="F30" i="2"/>
  <c r="C30" i="2"/>
  <c r="F29" i="2"/>
  <c r="C28" i="2"/>
  <c r="C31" i="2" s="1"/>
  <c r="F31" i="2" s="1"/>
  <c r="C25" i="2"/>
  <c r="F25" i="2" s="1"/>
  <c r="F24" i="2"/>
  <c r="F23" i="2"/>
  <c r="C23" i="2"/>
  <c r="F22" i="2"/>
  <c r="C22" i="2"/>
  <c r="F21" i="2"/>
  <c r="C18" i="2"/>
  <c r="F18" i="2" s="1"/>
  <c r="F17" i="2"/>
  <c r="F14" i="2"/>
  <c r="C14" i="2"/>
  <c r="F13" i="2"/>
  <c r="F12" i="2"/>
  <c r="F11" i="2"/>
  <c r="F10" i="2"/>
  <c r="F9" i="2"/>
  <c r="F8" i="2"/>
  <c r="F7" i="2"/>
  <c r="C7" i="2"/>
  <c r="F6" i="2"/>
  <c r="C6" i="2"/>
  <c r="C15" i="2" s="1"/>
  <c r="F37" i="1"/>
  <c r="G37" i="1" s="1"/>
  <c r="E37" i="1"/>
  <c r="C36" i="1"/>
  <c r="E36" i="1" s="1"/>
  <c r="E35" i="1"/>
  <c r="C35" i="1"/>
  <c r="G35" i="1" s="1"/>
  <c r="C34" i="1"/>
  <c r="E34" i="1" s="1"/>
  <c r="E33" i="1"/>
  <c r="C33" i="1"/>
  <c r="G33" i="1" s="1"/>
  <c r="C32" i="1"/>
  <c r="E32" i="1" s="1"/>
  <c r="E31" i="1"/>
  <c r="C31" i="1"/>
  <c r="G31" i="1" s="1"/>
  <c r="G30" i="1"/>
  <c r="F30" i="1"/>
  <c r="F39" i="1" s="1"/>
  <c r="G29" i="1"/>
  <c r="E29" i="1"/>
  <c r="G28" i="1"/>
  <c r="F26" i="1"/>
  <c r="G26" i="1" s="1"/>
  <c r="C26" i="1"/>
  <c r="E26" i="1" s="1"/>
  <c r="G25" i="1"/>
  <c r="E25" i="1"/>
  <c r="E24" i="1"/>
  <c r="C24" i="1"/>
  <c r="G24" i="1" s="1"/>
  <c r="G23" i="1"/>
  <c r="F22" i="1"/>
  <c r="C21" i="1"/>
  <c r="G21" i="1" s="1"/>
  <c r="G20" i="1"/>
  <c r="E20" i="1"/>
  <c r="G19" i="1"/>
  <c r="E19" i="1"/>
  <c r="G18" i="1"/>
  <c r="C17" i="1"/>
  <c r="E17" i="1" s="1"/>
  <c r="G16" i="1"/>
  <c r="E16" i="1"/>
  <c r="F15" i="1"/>
  <c r="F17" i="1" s="1"/>
  <c r="G17" i="1" s="1"/>
  <c r="E15" i="1"/>
  <c r="G14" i="1"/>
  <c r="E14" i="1"/>
  <c r="G13" i="1"/>
  <c r="F11" i="1"/>
  <c r="G11" i="1" s="1"/>
  <c r="E11" i="1"/>
  <c r="C10" i="1"/>
  <c r="C12" i="1" s="1"/>
  <c r="G9" i="1"/>
  <c r="E9" i="1"/>
  <c r="G8" i="1"/>
  <c r="E8" i="1"/>
  <c r="G7" i="1"/>
  <c r="E7" i="1"/>
  <c r="F6" i="1"/>
  <c r="F12" i="1" s="1"/>
  <c r="E6" i="1"/>
  <c r="F15" i="2" l="1"/>
  <c r="C19" i="2"/>
  <c r="F19" i="2" s="1"/>
  <c r="C26" i="2"/>
  <c r="F26" i="2" s="1"/>
  <c r="F28" i="2"/>
  <c r="F40" i="1"/>
  <c r="G12" i="1"/>
  <c r="G22" i="1"/>
  <c r="E12" i="1"/>
  <c r="G6" i="1"/>
  <c r="E10" i="1"/>
  <c r="G15" i="1"/>
  <c r="C22" i="1"/>
  <c r="E22" i="1" s="1"/>
  <c r="C27" i="1"/>
  <c r="E27" i="1" s="1"/>
  <c r="F27" i="1"/>
  <c r="G32" i="1"/>
  <c r="G34" i="1"/>
  <c r="G36" i="1"/>
  <c r="C39" i="1"/>
  <c r="E39" i="1" s="1"/>
  <c r="G10" i="1"/>
  <c r="C45" i="2" l="1"/>
  <c r="F45" i="2" s="1"/>
  <c r="F46" i="2" s="1"/>
  <c r="G40" i="1"/>
  <c r="G27" i="1"/>
  <c r="G39" i="1"/>
  <c r="C40" i="1"/>
  <c r="E40" i="1" s="1"/>
</calcChain>
</file>

<file path=xl/comments1.xml><?xml version="1.0" encoding="utf-8"?>
<comments xmlns="http://schemas.openxmlformats.org/spreadsheetml/2006/main">
  <authors>
    <author>admin</author>
  </authors>
  <commentList>
    <comment ref="D20" authorId="0">
      <text>
        <r>
          <rPr>
            <b/>
            <sz val="9"/>
            <color indexed="81"/>
            <rFont val="Tahoma"/>
            <family val="2"/>
            <charset val="204"/>
          </rPr>
          <t>КВ28З/П, ПФ
,45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кв28 в дек2013начислили, 
кв45 нет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кв28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кв 28 донач-ли в дек2013, кв.45 нет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проект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5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лифт
</t>
        </r>
      </text>
    </comment>
  </commentList>
</comments>
</file>

<file path=xl/sharedStrings.xml><?xml version="1.0" encoding="utf-8"?>
<sst xmlns="http://schemas.openxmlformats.org/spreadsheetml/2006/main" count="192" uniqueCount="109">
  <si>
    <t>ОТЧЕТ</t>
  </si>
  <si>
    <t xml:space="preserve"> по обслуживанию мжд №16 по ул.Фрунзе</t>
  </si>
  <si>
    <t xml:space="preserve">За 2014год </t>
  </si>
  <si>
    <t>№ п/п</t>
  </si>
  <si>
    <t>Вид работ</t>
  </si>
  <si>
    <t>Ориент.стоимость в год, рублей</t>
  </si>
  <si>
    <t>Вид обслуживания</t>
  </si>
  <si>
    <t>расчет на 1 кв.м в месяц</t>
  </si>
  <si>
    <t>Факт выполнения</t>
  </si>
  <si>
    <t>Разница =факт-план</t>
  </si>
  <si>
    <t>Сантехнические работы</t>
  </si>
  <si>
    <t>Запуск отопления (ревизия,опрессовка,испытание) СО  при необходимости замена. ремонт)</t>
  </si>
  <si>
    <t>то</t>
  </si>
  <si>
    <t>Ревизия арматуры ХВС в тех.подвале (при необходимости замена)</t>
  </si>
  <si>
    <t>Смена вентилей ХВС, ГВС в квартирах по заявкам</t>
  </si>
  <si>
    <t xml:space="preserve">Ревизия,опрессовка,испытание ГВС  </t>
  </si>
  <si>
    <t>Монтаж термо регулятора на СО</t>
  </si>
  <si>
    <t>тр</t>
  </si>
  <si>
    <t>Монтаж прибора учета обратн трубопровода ГВС с проектом</t>
  </si>
  <si>
    <t>Итого по разделу</t>
  </si>
  <si>
    <t>Электротехнические работы</t>
  </si>
  <si>
    <t>Монтаж  электроснабжения кабельканалов</t>
  </si>
  <si>
    <t>Замена лампочек</t>
  </si>
  <si>
    <t>Ревизия электрооборудования 1 раз</t>
  </si>
  <si>
    <t>Общестроительные работы</t>
  </si>
  <si>
    <t>Ремонт кровли над ливн. Канал.(доп. Объём)</t>
  </si>
  <si>
    <t>Проверка вентканалов и ремонт</t>
  </si>
  <si>
    <t>ремонт потолка в кв,51 после затопления</t>
  </si>
  <si>
    <t>Благоустройство  и санитарное содержание</t>
  </si>
  <si>
    <t>Уборка придомовой территории</t>
  </si>
  <si>
    <t>Работы по благоустройству</t>
  </si>
  <si>
    <t>Эксплуатация мусоропровода</t>
  </si>
  <si>
    <t>Прочие работы, услуги</t>
  </si>
  <si>
    <t>Проверка лифтового оборудования</t>
  </si>
  <si>
    <t>Поверка прибора учета на ГВС</t>
  </si>
  <si>
    <t>Оплата управляющей компании</t>
  </si>
  <si>
    <t>Оплата председателю совета дома</t>
  </si>
  <si>
    <t>Оплата заместителю председателя совета дома</t>
  </si>
  <si>
    <t xml:space="preserve">АДС </t>
  </si>
  <si>
    <t>услуги по изготовлению платежных счетов</t>
  </si>
  <si>
    <t>услуги по ведению паспортного учёта</t>
  </si>
  <si>
    <t>Аварийные (непредвиденные работы)</t>
  </si>
  <si>
    <t>доначисление (возврат) средств по выпол работ 2013 года</t>
  </si>
  <si>
    <t>Всего расходов</t>
  </si>
  <si>
    <t xml:space="preserve">Расчет </t>
  </si>
  <si>
    <t>предложений по обслуживанию мжд №16 по ул.Фрунзе</t>
  </si>
  <si>
    <t xml:space="preserve">на 2015год </t>
  </si>
  <si>
    <t>Запуск отопления (промывка,опрессовка,испытание) СО  при необходимости частичная замена, ремонт)</t>
  </si>
  <si>
    <t>Ревизия арматуры ХВС, ГВС, СО в тех.подвале (при необходимости замена)</t>
  </si>
  <si>
    <t>Ревизия задвижек  ХВС, ГВС, СО в тех.подвале (при необходимости замена)</t>
  </si>
  <si>
    <t>Консервация, расконсервация СО</t>
  </si>
  <si>
    <t>замена вводной задвижки на ГВС</t>
  </si>
  <si>
    <t>Монтаж ОПУ на обратный тр-од ГВС</t>
  </si>
  <si>
    <t>Монтаж теплообменника на СО</t>
  </si>
  <si>
    <t>Ревизия электрооборудования 2 раз</t>
  </si>
  <si>
    <t>Ремонт двери выхода на крышу</t>
  </si>
  <si>
    <t>Проверка вентканалов 3 раза</t>
  </si>
  <si>
    <t>Ремонт вентканалов</t>
  </si>
  <si>
    <t>Ремонт кровли над кв.51,52</t>
  </si>
  <si>
    <t>Замена окон в подъезде</t>
  </si>
  <si>
    <t>Экспертиза газопровода</t>
  </si>
  <si>
    <t>услуги по ведению спецсчета</t>
  </si>
  <si>
    <t>Возврат (доначисление) по итагам предыдущего года</t>
  </si>
  <si>
    <t>добавить кареевой и миначенко</t>
  </si>
  <si>
    <t>на собрание пригласить инспектора пожарников</t>
  </si>
  <si>
    <t>придумать предписание на оформление переустройств перепланировок</t>
  </si>
  <si>
    <t>кв.17,53</t>
  </si>
  <si>
    <t xml:space="preserve">обследование трубопровода газа </t>
  </si>
  <si>
    <t>страхование лифта</t>
  </si>
  <si>
    <t>окно пластиковое между этажами</t>
  </si>
  <si>
    <t>9 и 7(или 6)</t>
  </si>
  <si>
    <t>Отчет</t>
  </si>
  <si>
    <t>финансового состояния</t>
  </si>
  <si>
    <t>дома №16 по ул. Фрунзе</t>
  </si>
  <si>
    <t>за 2014 год</t>
  </si>
  <si>
    <t>Сальдо на 01.01.2014 по оплате</t>
  </si>
  <si>
    <t>Сальдо на 01.01.2014 по поставщикам</t>
  </si>
  <si>
    <t>услуга</t>
  </si>
  <si>
    <t>№ строки</t>
  </si>
  <si>
    <t>Выставлено поставщиками услуг актов на сумму</t>
  </si>
  <si>
    <t>Принято услуг от  поставщиков  на сумму</t>
  </si>
  <si>
    <t>Начислено по платежкам с разбивкой по услугам</t>
  </si>
  <si>
    <t>оплачено населением</t>
  </si>
  <si>
    <t>сальдо предъявлено-начислено</t>
  </si>
  <si>
    <t>Оплачено поставщику услуг</t>
  </si>
  <si>
    <t>Содержание ОИМД</t>
  </si>
  <si>
    <t xml:space="preserve">Гор.вода </t>
  </si>
  <si>
    <t>Водоотведение</t>
  </si>
  <si>
    <t>Водоснабжение</t>
  </si>
  <si>
    <t>Вывоз мусора</t>
  </si>
  <si>
    <t>Отопление</t>
  </si>
  <si>
    <t>ТО домофона</t>
  </si>
  <si>
    <t>лифт</t>
  </si>
  <si>
    <t>Антенна</t>
  </si>
  <si>
    <t xml:space="preserve">электроэнергия </t>
  </si>
  <si>
    <t>комис. Сбор</t>
  </si>
  <si>
    <t>Пени</t>
  </si>
  <si>
    <t>Судебные расходы</t>
  </si>
  <si>
    <t>Всего</t>
  </si>
  <si>
    <t>Задолженность  жителей по оплате (гр.5-гр.6) за 2014год</t>
  </si>
  <si>
    <t xml:space="preserve">Задолженность  жителей по оплате на 01.01.2015год </t>
  </si>
  <si>
    <t>Задолженность жителей по предоставленным услугам на 01.01.2015год</t>
  </si>
  <si>
    <t>Дополнительный доход от договора с ОАО "Ростелеком"</t>
  </si>
  <si>
    <t>Дополнительный доход от договора с ОАО "Магнум"</t>
  </si>
  <si>
    <t>Дополнительный доход от договора с ИП Трахнова</t>
  </si>
  <si>
    <t>Задолженность жителей по предоставленным услугам на 01.01.2015год с учётом дохода</t>
  </si>
  <si>
    <t>Задолженность  жителей по оплате за 2014год с учётом дохода</t>
  </si>
  <si>
    <t>Генеральный директор ООО "УК"Перспектива"</t>
  </si>
  <si>
    <t>Тягина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</si>
</sst>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  <numFmt numFmtId="166" formatCode="0.0%"/>
    <numFmt numFmtId="167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0"/>
      <color rgb="FFFFC000"/>
      <name val="Arial Cyr"/>
      <charset val="204"/>
    </font>
    <font>
      <b/>
      <sz val="10"/>
      <name val="Arial Cyr"/>
      <charset val="204"/>
    </font>
    <font>
      <sz val="12"/>
      <color rgb="FFFF000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4"/>
      <color indexed="63"/>
      <name val="Arial"/>
      <family val="2"/>
      <charset val="204"/>
    </font>
    <font>
      <b/>
      <sz val="14"/>
      <color theme="1"/>
      <name val="Arial Cyr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2" fillId="2" borderId="0" xfId="1" applyFont="1" applyFill="1" applyAlignment="1">
      <alignment horizontal="right"/>
    </xf>
    <xf numFmtId="0" fontId="1" fillId="0" borderId="0" xfId="1"/>
    <xf numFmtId="0" fontId="2" fillId="0" borderId="0" xfId="1" applyFont="1" applyAlignment="1">
      <alignment horizontal="right"/>
    </xf>
    <xf numFmtId="0" fontId="1" fillId="0" borderId="0" xfId="1" applyFont="1" applyFill="1" applyBorder="1"/>
    <xf numFmtId="0" fontId="0" fillId="0" borderId="1" xfId="0" applyBorder="1"/>
    <xf numFmtId="0" fontId="1" fillId="0" borderId="2" xfId="1" applyBorder="1"/>
    <xf numFmtId="0" fontId="0" fillId="0" borderId="2" xfId="1" applyFont="1" applyBorder="1" applyAlignment="1">
      <alignment wrapText="1"/>
    </xf>
    <xf numFmtId="0" fontId="1" fillId="0" borderId="2" xfId="1" applyBorder="1" applyAlignment="1">
      <alignment wrapText="1"/>
    </xf>
    <xf numFmtId="0" fontId="1" fillId="0" borderId="3" xfId="1" applyFont="1" applyBorder="1" applyAlignment="1">
      <alignment wrapText="1"/>
    </xf>
    <xf numFmtId="0" fontId="0" fillId="0" borderId="4" xfId="1" applyFont="1" applyBorder="1" applyAlignment="1">
      <alignment wrapText="1"/>
    </xf>
    <xf numFmtId="0" fontId="0" fillId="0" borderId="4" xfId="1" applyFont="1" applyFill="1" applyBorder="1" applyAlignment="1">
      <alignment wrapText="1"/>
    </xf>
    <xf numFmtId="0" fontId="0" fillId="0" borderId="5" xfId="0" applyBorder="1"/>
    <xf numFmtId="0" fontId="0" fillId="0" borderId="4" xfId="0" applyBorder="1"/>
    <xf numFmtId="0" fontId="0" fillId="0" borderId="8" xfId="0" applyBorder="1"/>
    <xf numFmtId="0" fontId="0" fillId="3" borderId="9" xfId="0" applyFill="1" applyBorder="1" applyAlignment="1">
      <alignment horizontal="left" vertical="justify" wrapText="1"/>
    </xf>
    <xf numFmtId="3" fontId="1" fillId="3" borderId="9" xfId="1" applyNumberFormat="1" applyFill="1" applyBorder="1" applyAlignment="1">
      <alignment horizontal="center" vertical="justify" wrapText="1"/>
    </xf>
    <xf numFmtId="0" fontId="1" fillId="3" borderId="9" xfId="1" applyFill="1" applyBorder="1" applyAlignment="1">
      <alignment horizontal="center" vertical="justify"/>
    </xf>
    <xf numFmtId="2" fontId="1" fillId="3" borderId="10" xfId="1" applyNumberFormat="1" applyFont="1" applyFill="1" applyBorder="1" applyAlignment="1">
      <alignment horizontal="center" vertical="justify"/>
    </xf>
    <xf numFmtId="3" fontId="0" fillId="0" borderId="4" xfId="0" applyNumberFormat="1" applyBorder="1"/>
    <xf numFmtId="0" fontId="0" fillId="3" borderId="4" xfId="0" applyFill="1" applyBorder="1" applyAlignment="1">
      <alignment horizontal="left" vertical="justify" wrapText="1"/>
    </xf>
    <xf numFmtId="3" fontId="1" fillId="3" borderId="4" xfId="1" applyNumberFormat="1" applyFill="1" applyBorder="1" applyAlignment="1">
      <alignment horizontal="center" vertical="justify" wrapText="1"/>
    </xf>
    <xf numFmtId="0" fontId="1" fillId="3" borderId="4" xfId="1" applyFill="1" applyBorder="1" applyAlignment="1">
      <alignment horizontal="center" vertical="justify"/>
    </xf>
    <xf numFmtId="2" fontId="1" fillId="3" borderId="11" xfId="1" applyNumberFormat="1" applyFont="1" applyFill="1" applyBorder="1" applyAlignment="1">
      <alignment horizontal="center" vertical="justify"/>
    </xf>
    <xf numFmtId="0" fontId="1" fillId="3" borderId="4" xfId="1" applyFont="1" applyFill="1" applyBorder="1" applyAlignment="1">
      <alignment horizontal="left" vertical="justify" wrapText="1"/>
    </xf>
    <xf numFmtId="0" fontId="3" fillId="0" borderId="12" xfId="1" applyFont="1" applyBorder="1" applyAlignment="1">
      <alignment wrapText="1"/>
    </xf>
    <xf numFmtId="3" fontId="0" fillId="3" borderId="12" xfId="1" applyNumberFormat="1" applyFont="1" applyFill="1" applyBorder="1" applyAlignment="1">
      <alignment horizontal="center" vertical="justify" wrapText="1"/>
    </xf>
    <xf numFmtId="0" fontId="3" fillId="2" borderId="4" xfId="1" applyFont="1" applyFill="1" applyBorder="1" applyAlignment="1">
      <alignment horizontal="center" wrapText="1"/>
    </xf>
    <xf numFmtId="164" fontId="3" fillId="2" borderId="12" xfId="2" applyNumberFormat="1" applyFont="1" applyFill="1" applyBorder="1" applyAlignment="1">
      <alignment horizontal="center" wrapText="1"/>
    </xf>
    <xf numFmtId="2" fontId="1" fillId="2" borderId="11" xfId="1" applyNumberFormat="1" applyFont="1" applyFill="1" applyBorder="1" applyAlignment="1">
      <alignment horizontal="center" vertical="justify"/>
    </xf>
    <xf numFmtId="0" fontId="0" fillId="2" borderId="4" xfId="0" applyFill="1" applyBorder="1"/>
    <xf numFmtId="0" fontId="0" fillId="0" borderId="12" xfId="1" applyFont="1" applyBorder="1"/>
    <xf numFmtId="3" fontId="1" fillId="0" borderId="12" xfId="1" applyNumberFormat="1" applyFont="1" applyBorder="1" applyAlignment="1">
      <alignment horizontal="center" wrapText="1"/>
    </xf>
    <xf numFmtId="0" fontId="1" fillId="0" borderId="12" xfId="1" applyBorder="1" applyAlignment="1">
      <alignment wrapText="1"/>
    </xf>
    <xf numFmtId="2" fontId="1" fillId="3" borderId="13" xfId="1" applyNumberFormat="1" applyFont="1" applyFill="1" applyBorder="1" applyAlignment="1">
      <alignment horizontal="center" vertical="justify"/>
    </xf>
    <xf numFmtId="0" fontId="3" fillId="0" borderId="9" xfId="1" applyFont="1" applyBorder="1" applyAlignment="1">
      <alignment wrapText="1"/>
    </xf>
    <xf numFmtId="164" fontId="3" fillId="0" borderId="9" xfId="2" applyNumberFormat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2" fontId="1" fillId="3" borderId="10" xfId="1" applyNumberFormat="1" applyFont="1" applyFill="1" applyBorder="1" applyAlignment="1">
      <alignment horizontal="center" vertical="center"/>
    </xf>
    <xf numFmtId="0" fontId="1" fillId="3" borderId="4" xfId="1" applyFill="1" applyBorder="1" applyAlignment="1">
      <alignment horizontal="left" vertical="justify" wrapText="1"/>
    </xf>
    <xf numFmtId="3" fontId="1" fillId="3" borderId="4" xfId="1" applyNumberFormat="1" applyFill="1" applyBorder="1" applyAlignment="1">
      <alignment horizontal="center" vertical="justify"/>
    </xf>
    <xf numFmtId="0" fontId="1" fillId="0" borderId="4" xfId="1" applyFont="1" applyBorder="1" applyAlignment="1">
      <alignment horizontal="left" vertical="justify" wrapText="1"/>
    </xf>
    <xf numFmtId="3" fontId="1" fillId="0" borderId="4" xfId="1" applyNumberFormat="1" applyBorder="1" applyAlignment="1">
      <alignment horizontal="center" vertical="center"/>
    </xf>
    <xf numFmtId="0" fontId="0" fillId="0" borderId="4" xfId="1" applyFont="1" applyBorder="1"/>
    <xf numFmtId="3" fontId="1" fillId="0" borderId="4" xfId="1" applyNumberFormat="1" applyFont="1" applyBorder="1" applyAlignment="1">
      <alignment horizontal="center" wrapText="1"/>
    </xf>
    <xf numFmtId="0" fontId="1" fillId="0" borderId="4" xfId="1" applyBorder="1" applyAlignment="1">
      <alignment wrapText="1"/>
    </xf>
    <xf numFmtId="0" fontId="0" fillId="0" borderId="8" xfId="0" applyFont="1" applyBorder="1"/>
    <xf numFmtId="0" fontId="3" fillId="0" borderId="4" xfId="1" applyFont="1" applyBorder="1" applyAlignment="1">
      <alignment wrapText="1"/>
    </xf>
    <xf numFmtId="164" fontId="3" fillId="0" borderId="4" xfId="2" applyNumberFormat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2" fontId="1" fillId="3" borderId="11" xfId="1" applyNumberFormat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left" vertical="justify" wrapText="1"/>
    </xf>
    <xf numFmtId="0" fontId="1" fillId="0" borderId="4" xfId="1" applyBorder="1"/>
    <xf numFmtId="1" fontId="1" fillId="0" borderId="4" xfId="1" applyNumberFormat="1" applyFill="1" applyBorder="1" applyAlignment="1">
      <alignment horizontal="center" wrapText="1"/>
    </xf>
    <xf numFmtId="0" fontId="4" fillId="0" borderId="8" xfId="0" applyFont="1" applyBorder="1"/>
    <xf numFmtId="0" fontId="4" fillId="0" borderId="15" xfId="0" applyFont="1" applyBorder="1"/>
    <xf numFmtId="0" fontId="0" fillId="0" borderId="4" xfId="0" applyFont="1" applyBorder="1"/>
    <xf numFmtId="0" fontId="0" fillId="0" borderId="9" xfId="0" applyBorder="1" applyAlignment="1"/>
    <xf numFmtId="0" fontId="0" fillId="2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1" fillId="0" borderId="4" xfId="1" applyNumberFormat="1" applyFont="1" applyBorder="1" applyAlignment="1">
      <alignment horizontal="center" wrapText="1"/>
    </xf>
    <xf numFmtId="0" fontId="1" fillId="0" borderId="4" xfId="1" applyFont="1" applyBorder="1"/>
    <xf numFmtId="1" fontId="1" fillId="0" borderId="4" xfId="1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justify" wrapText="1"/>
    </xf>
    <xf numFmtId="3" fontId="1" fillId="3" borderId="4" xfId="1" applyNumberFormat="1" applyFont="1" applyFill="1" applyBorder="1" applyAlignment="1">
      <alignment horizontal="center" vertical="justify"/>
    </xf>
    <xf numFmtId="0" fontId="0" fillId="0" borderId="16" xfId="0" applyBorder="1"/>
    <xf numFmtId="0" fontId="0" fillId="3" borderId="12" xfId="1" applyFont="1" applyFill="1" applyBorder="1" applyAlignment="1">
      <alignment horizontal="left" vertical="justify" wrapText="1"/>
    </xf>
    <xf numFmtId="3" fontId="1" fillId="4" borderId="12" xfId="1" applyNumberFormat="1" applyFill="1" applyBorder="1" applyAlignment="1">
      <alignment horizontal="center" vertical="justify"/>
    </xf>
    <xf numFmtId="0" fontId="1" fillId="3" borderId="12" xfId="1" applyFill="1" applyBorder="1" applyAlignment="1">
      <alignment horizontal="center" vertical="justify"/>
    </xf>
    <xf numFmtId="0" fontId="0" fillId="0" borderId="17" xfId="0" applyBorder="1"/>
    <xf numFmtId="0" fontId="5" fillId="3" borderId="18" xfId="1" applyFont="1" applyFill="1" applyBorder="1" applyAlignment="1">
      <alignment horizontal="left" vertical="justify" wrapText="1"/>
    </xf>
    <xf numFmtId="164" fontId="2" fillId="3" borderId="19" xfId="2" applyNumberFormat="1" applyFont="1" applyFill="1" applyBorder="1" applyAlignment="1">
      <alignment horizontal="center" vertical="justify"/>
    </xf>
    <xf numFmtId="2" fontId="6" fillId="3" borderId="20" xfId="1" applyNumberFormat="1" applyFont="1" applyFill="1" applyBorder="1" applyAlignment="1">
      <alignment horizontal="center" vertical="justify"/>
    </xf>
    <xf numFmtId="164" fontId="0" fillId="0" borderId="0" xfId="0" applyNumberFormat="1"/>
    <xf numFmtId="0" fontId="2" fillId="0" borderId="0" xfId="1" applyFont="1" applyAlignment="1">
      <alignment horizontal="left"/>
    </xf>
    <xf numFmtId="0" fontId="1" fillId="0" borderId="3" xfId="1" applyBorder="1" applyAlignment="1">
      <alignment wrapText="1"/>
    </xf>
    <xf numFmtId="0" fontId="1" fillId="0" borderId="21" xfId="1" applyFont="1" applyBorder="1" applyAlignment="1">
      <alignment wrapText="1"/>
    </xf>
    <xf numFmtId="0" fontId="0" fillId="3" borderId="9" xfId="1" applyFont="1" applyFill="1" applyBorder="1" applyAlignment="1">
      <alignment horizontal="center" vertical="justify"/>
    </xf>
    <xf numFmtId="0" fontId="1" fillId="3" borderId="10" xfId="1" applyFill="1" applyBorder="1" applyAlignment="1">
      <alignment horizontal="center" vertical="justify"/>
    </xf>
    <xf numFmtId="2" fontId="1" fillId="3" borderId="23" xfId="1" applyNumberFormat="1" applyFont="1" applyFill="1" applyBorder="1" applyAlignment="1">
      <alignment horizontal="center" vertical="justify"/>
    </xf>
    <xf numFmtId="0" fontId="1" fillId="3" borderId="11" xfId="1" applyFill="1" applyBorder="1" applyAlignment="1">
      <alignment horizontal="center" vertical="justify"/>
    </xf>
    <xf numFmtId="2" fontId="1" fillId="3" borderId="24" xfId="1" applyNumberFormat="1" applyFont="1" applyFill="1" applyBorder="1" applyAlignment="1">
      <alignment horizontal="center" vertical="justify"/>
    </xf>
    <xf numFmtId="3" fontId="1" fillId="3" borderId="12" xfId="1" applyNumberFormat="1" applyFill="1" applyBorder="1" applyAlignment="1">
      <alignment horizontal="center" vertical="justify" wrapText="1"/>
    </xf>
    <xf numFmtId="0" fontId="0" fillId="5" borderId="8" xfId="0" applyFill="1" applyBorder="1"/>
    <xf numFmtId="0" fontId="3" fillId="5" borderId="12" xfId="1" applyFont="1" applyFill="1" applyBorder="1" applyAlignment="1">
      <alignment wrapText="1"/>
    </xf>
    <xf numFmtId="3" fontId="0" fillId="5" borderId="12" xfId="1" applyNumberFormat="1" applyFont="1" applyFill="1" applyBorder="1" applyAlignment="1">
      <alignment horizontal="center" vertical="justify" wrapText="1"/>
    </xf>
    <xf numFmtId="0" fontId="3" fillId="5" borderId="4" xfId="1" applyFont="1" applyFill="1" applyBorder="1" applyAlignment="1">
      <alignment horizontal="center" wrapText="1"/>
    </xf>
    <xf numFmtId="0" fontId="1" fillId="5" borderId="11" xfId="1" applyFill="1" applyBorder="1" applyAlignment="1">
      <alignment horizontal="center" vertical="justify"/>
    </xf>
    <xf numFmtId="2" fontId="1" fillId="5" borderId="24" xfId="1" applyNumberFormat="1" applyFont="1" applyFill="1" applyBorder="1" applyAlignment="1">
      <alignment horizontal="center" vertical="justify"/>
    </xf>
    <xf numFmtId="0" fontId="1" fillId="0" borderId="13" xfId="1" applyBorder="1" applyAlignment="1">
      <alignment wrapText="1"/>
    </xf>
    <xf numFmtId="2" fontId="1" fillId="3" borderId="25" xfId="1" applyNumberFormat="1" applyFont="1" applyFill="1" applyBorder="1" applyAlignment="1">
      <alignment horizontal="center" vertical="justify"/>
    </xf>
    <xf numFmtId="0" fontId="0" fillId="0" borderId="4" xfId="1" applyFont="1" applyBorder="1" applyAlignment="1">
      <alignment horizontal="left" vertical="justify" wrapText="1"/>
    </xf>
    <xf numFmtId="0" fontId="1" fillId="0" borderId="11" xfId="1" applyBorder="1" applyAlignment="1">
      <alignment wrapText="1"/>
    </xf>
    <xf numFmtId="0" fontId="3" fillId="0" borderId="11" xfId="1" applyFont="1" applyBorder="1" applyAlignment="1">
      <alignment horizontal="center" wrapText="1"/>
    </xf>
    <xf numFmtId="2" fontId="1" fillId="3" borderId="24" xfId="1" applyNumberFormat="1" applyFont="1" applyFill="1" applyBorder="1" applyAlignment="1">
      <alignment horizontal="center" vertical="center"/>
    </xf>
    <xf numFmtId="0" fontId="0" fillId="0" borderId="15" xfId="0" applyFont="1" applyBorder="1"/>
    <xf numFmtId="2" fontId="1" fillId="3" borderId="4" xfId="1" applyNumberFormat="1" applyFont="1" applyFill="1" applyBorder="1" applyAlignment="1">
      <alignment horizontal="center" vertical="justify"/>
    </xf>
    <xf numFmtId="0" fontId="0" fillId="6" borderId="4" xfId="0" applyFont="1" applyFill="1" applyBorder="1" applyAlignment="1">
      <alignment horizontal="left" vertical="justify" wrapText="1"/>
    </xf>
    <xf numFmtId="3" fontId="1" fillId="6" borderId="4" xfId="1" applyNumberFormat="1" applyFont="1" applyFill="1" applyBorder="1" applyAlignment="1">
      <alignment horizontal="center" vertical="justify"/>
    </xf>
    <xf numFmtId="0" fontId="1" fillId="6" borderId="4" xfId="1" applyFill="1" applyBorder="1" applyAlignment="1">
      <alignment horizontal="center" vertical="justify"/>
    </xf>
    <xf numFmtId="0" fontId="1" fillId="6" borderId="11" xfId="1" applyFill="1" applyBorder="1" applyAlignment="1">
      <alignment horizontal="center" vertical="justify"/>
    </xf>
    <xf numFmtId="2" fontId="1" fillId="6" borderId="24" xfId="1" applyNumberFormat="1" applyFont="1" applyFill="1" applyBorder="1" applyAlignment="1">
      <alignment horizontal="center" vertical="justify"/>
    </xf>
    <xf numFmtId="3" fontId="1" fillId="4" borderId="4" xfId="1" applyNumberFormat="1" applyFill="1" applyBorder="1" applyAlignment="1">
      <alignment horizontal="center" vertical="justify"/>
    </xf>
    <xf numFmtId="164" fontId="2" fillId="3" borderId="20" xfId="2" applyNumberFormat="1" applyFont="1" applyFill="1" applyBorder="1" applyAlignment="1">
      <alignment horizontal="center" vertical="justify"/>
    </xf>
    <xf numFmtId="2" fontId="3" fillId="3" borderId="27" xfId="1" applyNumberFormat="1" applyFont="1" applyFill="1" applyBorder="1" applyAlignment="1">
      <alignment horizontal="center" vertical="justify"/>
    </xf>
    <xf numFmtId="43" fontId="0" fillId="0" borderId="0" xfId="0" applyNumberFormat="1"/>
    <xf numFmtId="2" fontId="10" fillId="0" borderId="0" xfId="0" applyNumberFormat="1" applyFont="1"/>
    <xf numFmtId="2" fontId="0" fillId="0" borderId="0" xfId="0" applyNumberFormat="1"/>
    <xf numFmtId="9" fontId="0" fillId="0" borderId="0" xfId="6" applyFont="1"/>
    <xf numFmtId="0" fontId="9" fillId="0" borderId="0" xfId="3"/>
    <xf numFmtId="0" fontId="11" fillId="0" borderId="0" xfId="3" applyFont="1"/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right"/>
    </xf>
    <xf numFmtId="0" fontId="12" fillId="0" borderId="0" xfId="3" applyFont="1" applyAlignment="1">
      <alignment horizontal="left"/>
    </xf>
    <xf numFmtId="0" fontId="13" fillId="0" borderId="0" xfId="3" applyFont="1" applyFill="1" applyBorder="1" applyAlignment="1"/>
    <xf numFmtId="0" fontId="14" fillId="0" borderId="0" xfId="3" applyFont="1"/>
    <xf numFmtId="2" fontId="14" fillId="0" borderId="0" xfId="3" applyNumberFormat="1" applyFont="1" applyAlignment="1">
      <alignment horizontal="center"/>
    </xf>
    <xf numFmtId="2" fontId="15" fillId="2" borderId="0" xfId="3" applyNumberFormat="1" applyFont="1" applyFill="1" applyBorder="1" applyAlignment="1">
      <alignment horizontal="center"/>
    </xf>
    <xf numFmtId="0" fontId="14" fillId="0" borderId="0" xfId="3" applyFont="1" applyAlignment="1">
      <alignment horizontal="right"/>
    </xf>
    <xf numFmtId="0" fontId="15" fillId="0" borderId="1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 wrapText="1"/>
    </xf>
    <xf numFmtId="0" fontId="15" fillId="0" borderId="29" xfId="3" applyFont="1" applyBorder="1" applyAlignment="1">
      <alignment horizontal="center" vertical="center" wrapText="1"/>
    </xf>
    <xf numFmtId="0" fontId="14" fillId="0" borderId="30" xfId="3" applyFont="1" applyBorder="1" applyAlignment="1">
      <alignment wrapText="1"/>
    </xf>
    <xf numFmtId="0" fontId="15" fillId="0" borderId="4" xfId="3" applyFont="1" applyFill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6" fillId="2" borderId="4" xfId="3" applyFont="1" applyFill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9" fillId="0" borderId="4" xfId="3" applyBorder="1"/>
    <xf numFmtId="0" fontId="14" fillId="0" borderId="8" xfId="3" applyFont="1" applyBorder="1"/>
    <xf numFmtId="0" fontId="17" fillId="0" borderId="4" xfId="3" applyFont="1" applyBorder="1" applyAlignment="1">
      <alignment horizontal="center"/>
    </xf>
    <xf numFmtId="2" fontId="14" fillId="2" borderId="4" xfId="3" applyNumberFormat="1" applyFont="1" applyFill="1" applyBorder="1" applyAlignment="1">
      <alignment horizontal="center"/>
    </xf>
    <xf numFmtId="2" fontId="18" fillId="2" borderId="4" xfId="3" applyNumberFormat="1" applyFont="1" applyFill="1" applyBorder="1"/>
    <xf numFmtId="2" fontId="18" fillId="2" borderId="11" xfId="5" applyNumberFormat="1" applyFont="1" applyFill="1" applyBorder="1"/>
    <xf numFmtId="2" fontId="9" fillId="0" borderId="4" xfId="3" applyNumberFormat="1" applyBorder="1"/>
    <xf numFmtId="2" fontId="14" fillId="2" borderId="4" xfId="3" applyNumberFormat="1" applyFont="1" applyFill="1" applyBorder="1"/>
    <xf numFmtId="0" fontId="14" fillId="2" borderId="4" xfId="3" applyNumberFormat="1" applyFont="1" applyFill="1" applyBorder="1" applyAlignment="1">
      <alignment horizontal="center"/>
    </xf>
    <xf numFmtId="2" fontId="14" fillId="2" borderId="4" xfId="5" applyNumberFormat="1" applyFont="1" applyFill="1" applyBorder="1" applyAlignment="1">
      <alignment horizontal="center"/>
    </xf>
    <xf numFmtId="0" fontId="14" fillId="0" borderId="31" xfId="3" applyFont="1" applyBorder="1" applyAlignment="1">
      <alignment wrapText="1"/>
    </xf>
    <xf numFmtId="0" fontId="17" fillId="0" borderId="12" xfId="3" applyFont="1" applyBorder="1" applyAlignment="1">
      <alignment horizontal="center"/>
    </xf>
    <xf numFmtId="2" fontId="14" fillId="2" borderId="12" xfId="3" applyNumberFormat="1" applyFont="1" applyFill="1" applyBorder="1" applyAlignment="1">
      <alignment horizontal="center"/>
    </xf>
    <xf numFmtId="0" fontId="14" fillId="0" borderId="31" xfId="3" applyFont="1" applyBorder="1"/>
    <xf numFmtId="2" fontId="14" fillId="2" borderId="12" xfId="3" applyNumberFormat="1" applyFont="1" applyFill="1" applyBorder="1"/>
    <xf numFmtId="0" fontId="15" fillId="0" borderId="32" xfId="3" applyFont="1" applyBorder="1"/>
    <xf numFmtId="0" fontId="17" fillId="0" borderId="33" xfId="3" applyFont="1" applyBorder="1" applyAlignment="1">
      <alignment horizontal="center"/>
    </xf>
    <xf numFmtId="2" fontId="13" fillId="3" borderId="33" xfId="3" applyNumberFormat="1" applyFont="1" applyFill="1" applyBorder="1" applyAlignment="1">
      <alignment horizontal="center"/>
    </xf>
    <xf numFmtId="2" fontId="13" fillId="3" borderId="34" xfId="3" applyNumberFormat="1" applyFont="1" applyFill="1" applyBorder="1" applyAlignment="1">
      <alignment horizontal="center"/>
    </xf>
    <xf numFmtId="0" fontId="9" fillId="3" borderId="35" xfId="3" applyFill="1" applyBorder="1"/>
    <xf numFmtId="0" fontId="15" fillId="3" borderId="0" xfId="3" applyFont="1" applyFill="1" applyBorder="1" applyAlignment="1">
      <alignment horizontal="left"/>
    </xf>
    <xf numFmtId="2" fontId="15" fillId="3" borderId="0" xfId="3" applyNumberFormat="1" applyFont="1" applyFill="1" applyBorder="1" applyAlignment="1">
      <alignment horizontal="left"/>
    </xf>
    <xf numFmtId="0" fontId="9" fillId="3" borderId="0" xfId="3" applyFill="1"/>
    <xf numFmtId="166" fontId="0" fillId="3" borderId="0" xfId="4" applyNumberFormat="1" applyFont="1" applyFill="1" applyAlignment="1">
      <alignment horizontal="center"/>
    </xf>
    <xf numFmtId="0" fontId="10" fillId="3" borderId="11" xfId="3" applyFont="1" applyFill="1" applyBorder="1" applyAlignment="1">
      <alignment horizontal="left"/>
    </xf>
    <xf numFmtId="0" fontId="10" fillId="3" borderId="14" xfId="3" applyFont="1" applyFill="1" applyBorder="1"/>
    <xf numFmtId="2" fontId="19" fillId="2" borderId="36" xfId="5" applyNumberFormat="1" applyFont="1" applyFill="1" applyBorder="1" applyAlignment="1">
      <alignment horizontal="right"/>
    </xf>
    <xf numFmtId="2" fontId="20" fillId="2" borderId="36" xfId="3" applyNumberFormat="1" applyFont="1" applyFill="1" applyBorder="1" applyAlignment="1"/>
    <xf numFmtId="0" fontId="10" fillId="0" borderId="11" xfId="3" applyFont="1" applyFill="1" applyBorder="1"/>
    <xf numFmtId="0" fontId="10" fillId="0" borderId="14" xfId="3" applyFont="1" applyFill="1" applyBorder="1"/>
    <xf numFmtId="2" fontId="19" fillId="2" borderId="36" xfId="3" applyNumberFormat="1" applyFont="1" applyFill="1" applyBorder="1" applyAlignment="1">
      <alignment horizontal="center"/>
    </xf>
    <xf numFmtId="0" fontId="11" fillId="3" borderId="13" xfId="3" applyFont="1" applyFill="1" applyBorder="1"/>
    <xf numFmtId="0" fontId="10" fillId="3" borderId="37" xfId="3" applyFont="1" applyFill="1" applyBorder="1"/>
    <xf numFmtId="0" fontId="10" fillId="0" borderId="37" xfId="3" applyFont="1" applyFill="1" applyBorder="1"/>
    <xf numFmtId="2" fontId="21" fillId="2" borderId="38" xfId="3" applyNumberFormat="1" applyFont="1" applyFill="1" applyBorder="1"/>
    <xf numFmtId="2" fontId="21" fillId="2" borderId="37" xfId="3" applyNumberFormat="1" applyFont="1" applyFill="1" applyBorder="1"/>
    <xf numFmtId="0" fontId="15" fillId="0" borderId="14" xfId="3" applyFont="1" applyFill="1" applyBorder="1"/>
    <xf numFmtId="2" fontId="15" fillId="2" borderId="14" xfId="3" applyNumberFormat="1" applyFont="1" applyFill="1" applyBorder="1"/>
    <xf numFmtId="0" fontId="10" fillId="0" borderId="0" xfId="3" applyFont="1"/>
    <xf numFmtId="2" fontId="21" fillId="2" borderId="0" xfId="3" applyNumberFormat="1" applyFont="1" applyFill="1"/>
    <xf numFmtId="0" fontId="10" fillId="0" borderId="0" xfId="3" applyFont="1" applyFill="1" applyBorder="1"/>
    <xf numFmtId="0" fontId="9" fillId="2" borderId="0" xfId="3" applyFill="1"/>
    <xf numFmtId="167" fontId="9" fillId="0" borderId="0" xfId="3" applyNumberFormat="1"/>
    <xf numFmtId="0" fontId="2" fillId="0" borderId="0" xfId="1" applyFont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11" xfId="1" applyFont="1" applyBorder="1" applyAlignment="1">
      <alignment horizontal="center" vertical="justify" wrapText="1"/>
    </xf>
    <xf numFmtId="0" fontId="1" fillId="0" borderId="14" xfId="1" applyFont="1" applyBorder="1" applyAlignment="1">
      <alignment horizontal="center" vertical="justify" wrapText="1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6" xfId="1" applyFont="1" applyBorder="1" applyAlignment="1">
      <alignment horizontal="center" vertical="justify" wrapText="1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7">
    <cellStyle name="Обычный" xfId="0" builtinId="0"/>
    <cellStyle name="Обычный 2" xfId="3"/>
    <cellStyle name="Обычный_отчет по начислению 16" xfId="1"/>
    <cellStyle name="Процентный 2" xfId="4"/>
    <cellStyle name="Процентный 3" xfId="6"/>
    <cellStyle name="Финансовый 2" xfId="5"/>
    <cellStyle name="Финансовый_отчет по начислению 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84;&#1086;&#1080;%20&#1076;&#1086;&#1082;&#1091;&#1084;&#1077;&#1085;&#1090;&#1099;\&#1076;&#1086;&#1084;&#1072;\&#1060;&#1056;&#1059;&#1053;&#1047;&#1045;%2016\&#1054;&#1058;&#1063;&#1045;&#1058;%20&#1060;&#1056;&#1059;&#1053;&#1047;&#1045;%2016-&#1059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84;&#1086;&#1080;%20&#1076;&#1086;&#1082;&#1091;&#1084;&#1077;&#1085;&#1090;&#1099;\&#1076;&#1080;&#1089;&#1082;%20&#1089;\Documents%20and%20Settings\1\&#1052;&#1086;&#1080;%20&#1076;&#1086;&#1082;&#1091;&#1084;&#1077;&#1085;&#1090;&#1099;\&#1076;&#1086;&#1084;&#1072;\&#1087;&#1088;&#1086;&#1084;&#1077;&#1078;%20&#1091;&#1082;\&#1087;&#1088;&#1086;&#1084;&#1077;&#1078;&#1091;&#1090;&#1086;&#1095;&#1085;&#1099;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84;&#1086;&#1080;%20&#1076;&#1086;&#1082;&#1091;&#1084;&#1077;&#1085;&#1090;&#1099;\&#1076;&#1080;&#1089;&#1082;%20&#1089;\Documents%20and%20Settings\1\&#1052;&#1086;&#1080;%20&#1076;&#1086;&#1082;&#1091;&#1084;&#1077;&#1085;&#1090;&#1099;\&#1090;&#1077;&#1083;&#1077;&#1092;&#1086;&#1085;&#1085;&#1099;&#1081;%20&#1089;&#1087;&#1088;&#1072;&#1074;&#1086;&#1095;&#1085;&#108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2"/>
      <sheetName val="отчет 2013"/>
      <sheetName val="отчет 2014"/>
    </sheetNames>
    <sheetDataSet>
      <sheetData sheetId="0"/>
      <sheetData sheetId="1">
        <row r="27">
          <cell r="I27">
            <v>242272.60000000044</v>
          </cell>
        </row>
        <row r="32">
          <cell r="I32">
            <v>-38715.151315000083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  <sheetName val="Лист1"/>
    </sheetNames>
    <sheetDataSet>
      <sheetData sheetId="0">
        <row r="15">
          <cell r="U15">
            <v>10550.14</v>
          </cell>
        </row>
        <row r="16">
          <cell r="U16">
            <v>393336.17999999993</v>
          </cell>
        </row>
        <row r="17">
          <cell r="U17">
            <v>202697.83</v>
          </cell>
        </row>
        <row r="18">
          <cell r="U18">
            <v>114760.06</v>
          </cell>
        </row>
        <row r="19">
          <cell r="U19">
            <v>56184.24</v>
          </cell>
        </row>
        <row r="20">
          <cell r="U20">
            <v>66593.609999999986</v>
          </cell>
        </row>
        <row r="21">
          <cell r="U21">
            <v>46511.65</v>
          </cell>
        </row>
        <row r="22">
          <cell r="U22">
            <v>831862.03</v>
          </cell>
        </row>
        <row r="23">
          <cell r="U23">
            <v>702</v>
          </cell>
        </row>
        <row r="24">
          <cell r="U24">
            <v>6336.72</v>
          </cell>
        </row>
      </sheetData>
      <sheetData sheetId="1">
        <row r="16">
          <cell r="U16">
            <v>6.6699999999999591</v>
          </cell>
        </row>
        <row r="17">
          <cell r="U17">
            <v>9445.4700000000012</v>
          </cell>
        </row>
        <row r="18">
          <cell r="U18">
            <v>315.58000000000004</v>
          </cell>
        </row>
        <row r="19">
          <cell r="U19">
            <v>379032.17000000004</v>
          </cell>
        </row>
        <row r="20">
          <cell r="U20">
            <v>186669.92</v>
          </cell>
        </row>
        <row r="21">
          <cell r="U21">
            <v>121558.57</v>
          </cell>
        </row>
        <row r="22">
          <cell r="U22">
            <v>61661.490000000005</v>
          </cell>
        </row>
        <row r="23">
          <cell r="U23">
            <v>145.54000000000002</v>
          </cell>
        </row>
        <row r="24">
          <cell r="U24">
            <v>68278.95</v>
          </cell>
        </row>
        <row r="25">
          <cell r="U25">
            <v>47099.369999999995</v>
          </cell>
        </row>
        <row r="26">
          <cell r="U26">
            <v>826394.09</v>
          </cell>
        </row>
        <row r="27">
          <cell r="U27">
            <v>724.88</v>
          </cell>
        </row>
        <row r="28">
          <cell r="U28">
            <v>506.07000000000005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р.16-3"/>
      <sheetName val="2006"/>
      <sheetName val="2007"/>
      <sheetName val="2008"/>
      <sheetName val="2009"/>
      <sheetName val="2009 (2)"/>
      <sheetName val="2010"/>
      <sheetName val="2011"/>
      <sheetName val="2012"/>
      <sheetName val="2012УК"/>
      <sheetName val="2013"/>
      <sheetName val="2013электр"/>
      <sheetName val="2014"/>
      <sheetName val="Лист2"/>
      <sheetName val="Лист3"/>
      <sheetName val="укс"/>
      <sheetName val="укс (2)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1">
          <cell r="N21">
            <v>63868.443000000007</v>
          </cell>
        </row>
      </sheetData>
      <sheetData sheetId="12" refreshError="1"/>
      <sheetData sheetId="13">
        <row r="21">
          <cell r="N21">
            <v>56184.23</v>
          </cell>
        </row>
        <row r="25">
          <cell r="N25">
            <v>116109.5955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showWhiteSpace="0" view="pageLayout" zoomScale="75" zoomScaleNormal="85" zoomScalePageLayoutView="75" workbookViewId="0">
      <selection activeCell="I6" sqref="I6:L22"/>
    </sheetView>
  </sheetViews>
  <sheetFormatPr defaultRowHeight="12.75" x14ac:dyDescent="0.2"/>
  <cols>
    <col min="1" max="1" width="26" style="109" customWidth="1"/>
    <col min="2" max="2" width="4" style="109" customWidth="1"/>
    <col min="3" max="3" width="22.28515625" style="109" customWidth="1"/>
    <col min="4" max="4" width="21.5703125" style="109" customWidth="1"/>
    <col min="5" max="5" width="18.42578125" style="109" customWidth="1"/>
    <col min="6" max="6" width="21.7109375" style="109" customWidth="1"/>
    <col min="7" max="7" width="17.140625" style="109" customWidth="1"/>
    <col min="8" max="8" width="15.85546875" style="109" customWidth="1"/>
    <col min="9" max="16384" width="9.140625" style="109"/>
  </cols>
  <sheetData>
    <row r="1" spans="1:8" ht="15.75" x14ac:dyDescent="0.25">
      <c r="B1" s="110"/>
      <c r="C1" s="111" t="s">
        <v>71</v>
      </c>
      <c r="D1" s="111"/>
      <c r="E1" s="111"/>
      <c r="F1" s="110"/>
    </row>
    <row r="2" spans="1:8" ht="15.75" x14ac:dyDescent="0.25">
      <c r="B2" s="110"/>
      <c r="C2" s="112" t="s">
        <v>72</v>
      </c>
      <c r="D2" s="113" t="s">
        <v>73</v>
      </c>
      <c r="E2" s="111"/>
      <c r="F2" s="110"/>
    </row>
    <row r="3" spans="1:8" ht="15.75" x14ac:dyDescent="0.25">
      <c r="B3" s="110"/>
      <c r="C3" s="111" t="s">
        <v>74</v>
      </c>
      <c r="D3" s="111"/>
      <c r="E3" s="111"/>
      <c r="F3" s="110"/>
    </row>
    <row r="4" spans="1:8" ht="18" x14ac:dyDescent="0.25">
      <c r="A4" s="114" t="s">
        <v>75</v>
      </c>
      <c r="B4" s="114"/>
      <c r="C4" s="115"/>
      <c r="D4" s="116">
        <f>'[1]отчет 2013'!I27</f>
        <v>242272.60000000044</v>
      </c>
      <c r="E4" s="116"/>
      <c r="F4" s="115"/>
      <c r="G4" s="115"/>
    </row>
    <row r="5" spans="1:8" ht="18.75" thickBot="1" x14ac:dyDescent="0.3">
      <c r="A5" s="114" t="s">
        <v>76</v>
      </c>
      <c r="B5" s="114"/>
      <c r="C5" s="115"/>
      <c r="D5" s="117">
        <f>'[1]отчет 2013'!I32</f>
        <v>-38715.151315000083</v>
      </c>
      <c r="E5" s="117"/>
      <c r="F5" s="118"/>
      <c r="G5" s="115"/>
    </row>
    <row r="6" spans="1:8" ht="90" x14ac:dyDescent="0.25">
      <c r="A6" s="119" t="s">
        <v>77</v>
      </c>
      <c r="B6" s="120" t="s">
        <v>78</v>
      </c>
      <c r="C6" s="120" t="s">
        <v>79</v>
      </c>
      <c r="D6" s="120" t="s">
        <v>80</v>
      </c>
      <c r="E6" s="121" t="s">
        <v>81</v>
      </c>
      <c r="F6" s="121" t="s">
        <v>82</v>
      </c>
      <c r="G6" s="122" t="s">
        <v>83</v>
      </c>
      <c r="H6" s="123" t="s">
        <v>84</v>
      </c>
    </row>
    <row r="7" spans="1:8" x14ac:dyDescent="0.2">
      <c r="A7" s="124">
        <v>1</v>
      </c>
      <c r="B7" s="125">
        <v>2</v>
      </c>
      <c r="C7" s="125">
        <v>3</v>
      </c>
      <c r="D7" s="125">
        <v>4</v>
      </c>
      <c r="E7" s="126">
        <v>5</v>
      </c>
      <c r="F7" s="125">
        <v>6</v>
      </c>
      <c r="G7" s="127">
        <v>7</v>
      </c>
      <c r="H7" s="128">
        <v>8</v>
      </c>
    </row>
    <row r="8" spans="1:8" ht="18" x14ac:dyDescent="0.25">
      <c r="A8" s="129" t="s">
        <v>85</v>
      </c>
      <c r="B8" s="130">
        <v>1</v>
      </c>
      <c r="C8" s="131">
        <f>D8</f>
        <v>311574.33999999997</v>
      </c>
      <c r="D8" s="131">
        <f>31553.01+24000+3600+3386.6+1366+224+1943+(14603.5-1150-1149)+1790.06+701+10734.01+(2920.7-230-229.8)+3600+11659+4698.12+9633+3934.12+2430+375+200+557+288+28300+3970+200+145+13511+12101+5976+1278+1715+10000+500+18000+7776+54073.82+22171.2+420</f>
        <v>311574.33999999997</v>
      </c>
      <c r="E8" s="132">
        <f>[2]начислено!$U$16</f>
        <v>393336.17999999993</v>
      </c>
      <c r="F8" s="131">
        <f>[2]оплата!$U$16+[2]оплата!$U$19-2711.94</f>
        <v>376326.9</v>
      </c>
      <c r="G8" s="133">
        <f>D8-E8</f>
        <v>-81761.839999999967</v>
      </c>
      <c r="H8" s="134">
        <f>D8</f>
        <v>311574.33999999997</v>
      </c>
    </row>
    <row r="9" spans="1:8" ht="18" x14ac:dyDescent="0.25">
      <c r="A9" s="129" t="s">
        <v>86</v>
      </c>
      <c r="B9" s="130">
        <v>2</v>
      </c>
      <c r="C9" s="131">
        <v>202428.97</v>
      </c>
      <c r="D9" s="131">
        <v>202428.97</v>
      </c>
      <c r="E9" s="135">
        <f>[2]начислено!$U$17</f>
        <v>202697.83</v>
      </c>
      <c r="F9" s="131">
        <f>[2]оплата!$U$20</f>
        <v>186669.92</v>
      </c>
      <c r="G9" s="133">
        <f t="shared" ref="G9:G19" si="0">D9-E9</f>
        <v>-268.85999999998603</v>
      </c>
      <c r="H9" s="134">
        <f>D9*113.8%</f>
        <v>230364.16785999999</v>
      </c>
    </row>
    <row r="10" spans="1:8" ht="18" x14ac:dyDescent="0.25">
      <c r="A10" s="129" t="s">
        <v>87</v>
      </c>
      <c r="B10" s="130">
        <v>3</v>
      </c>
      <c r="C10" s="131">
        <f>'[3]2014'!$N$25</f>
        <v>116109.5955</v>
      </c>
      <c r="D10" s="131">
        <v>113191.59</v>
      </c>
      <c r="E10" s="135">
        <f>[2]начислено!$U$18</f>
        <v>114760.06</v>
      </c>
      <c r="F10" s="136">
        <f>[2]оплата!$U$21</f>
        <v>121558.57</v>
      </c>
      <c r="G10" s="133">
        <f t="shared" si="0"/>
        <v>-1568.4700000000012</v>
      </c>
      <c r="H10" s="134">
        <f>D10*173.7%</f>
        <v>196613.79182999997</v>
      </c>
    </row>
    <row r="11" spans="1:8" ht="18" x14ac:dyDescent="0.25">
      <c r="A11" s="129" t="s">
        <v>88</v>
      </c>
      <c r="B11" s="130">
        <v>4</v>
      </c>
      <c r="C11" s="131">
        <f>'[3]2014'!$N$21</f>
        <v>56184.23</v>
      </c>
      <c r="D11" s="131">
        <v>56184.23</v>
      </c>
      <c r="E11" s="135">
        <f>[2]начислено!$U$19</f>
        <v>56184.24</v>
      </c>
      <c r="F11" s="136">
        <f>[2]оплата!$U$22</f>
        <v>61661.490000000005</v>
      </c>
      <c r="G11" s="133">
        <f t="shared" si="0"/>
        <v>-9.9999999947613105E-3</v>
      </c>
      <c r="H11" s="134">
        <f>D11*215.8%</f>
        <v>121245.56834</v>
      </c>
    </row>
    <row r="12" spans="1:8" ht="18" x14ac:dyDescent="0.25">
      <c r="A12" s="129" t="s">
        <v>89</v>
      </c>
      <c r="B12" s="130">
        <v>5</v>
      </c>
      <c r="C12" s="131">
        <f>D12</f>
        <v>45395</v>
      </c>
      <c r="D12" s="131">
        <v>45395</v>
      </c>
      <c r="E12" s="135">
        <f>[2]начислено!$U$21</f>
        <v>46511.65</v>
      </c>
      <c r="F12" s="136">
        <f>[2]оплата!$U$25</f>
        <v>47099.369999999995</v>
      </c>
      <c r="G12" s="133">
        <f t="shared" si="0"/>
        <v>-1116.6500000000015</v>
      </c>
      <c r="H12" s="134">
        <f t="shared" ref="H12:H20" si="1">D12</f>
        <v>45395</v>
      </c>
    </row>
    <row r="13" spans="1:8" ht="18" x14ac:dyDescent="0.25">
      <c r="A13" s="129" t="s">
        <v>90</v>
      </c>
      <c r="B13" s="130">
        <v>6</v>
      </c>
      <c r="C13" s="137">
        <v>831816</v>
      </c>
      <c r="D13" s="137">
        <v>831816</v>
      </c>
      <c r="E13" s="135">
        <f>[2]начислено!$U$22</f>
        <v>831862.03</v>
      </c>
      <c r="F13" s="131">
        <f>[2]оплата!$U$26</f>
        <v>826394.09</v>
      </c>
      <c r="G13" s="133">
        <f t="shared" si="0"/>
        <v>-46.03000000002794</v>
      </c>
      <c r="H13" s="134">
        <f>D13*65.4%</f>
        <v>544007.66399999999</v>
      </c>
    </row>
    <row r="14" spans="1:8" ht="18" x14ac:dyDescent="0.25">
      <c r="A14" s="129" t="s">
        <v>91</v>
      </c>
      <c r="B14" s="130">
        <v>7</v>
      </c>
      <c r="C14" s="131">
        <f>D14</f>
        <v>0</v>
      </c>
      <c r="D14" s="131">
        <v>0</v>
      </c>
      <c r="E14" s="135">
        <v>0</v>
      </c>
      <c r="F14" s="136">
        <f>[2]оплата!$U$23</f>
        <v>145.54000000000002</v>
      </c>
      <c r="G14" s="133">
        <f t="shared" si="0"/>
        <v>0</v>
      </c>
      <c r="H14" s="134">
        <f t="shared" si="1"/>
        <v>0</v>
      </c>
    </row>
    <row r="15" spans="1:8" ht="18" x14ac:dyDescent="0.25">
      <c r="A15" s="129" t="s">
        <v>92</v>
      </c>
      <c r="B15" s="130">
        <v>8</v>
      </c>
      <c r="C15" s="131">
        <f>D15</f>
        <v>57021</v>
      </c>
      <c r="D15" s="131">
        <v>57021</v>
      </c>
      <c r="E15" s="135">
        <f>[2]начислено!$U$20</f>
        <v>66593.609999999986</v>
      </c>
      <c r="F15" s="136">
        <f>[2]оплата!$U$24</f>
        <v>68278.95</v>
      </c>
      <c r="G15" s="133">
        <f t="shared" si="0"/>
        <v>-9572.609999999986</v>
      </c>
      <c r="H15" s="134">
        <f t="shared" si="1"/>
        <v>57021</v>
      </c>
    </row>
    <row r="16" spans="1:8" ht="18" x14ac:dyDescent="0.25">
      <c r="A16" s="129" t="s">
        <v>93</v>
      </c>
      <c r="B16" s="130">
        <v>9</v>
      </c>
      <c r="C16" s="131">
        <f>D16</f>
        <v>702</v>
      </c>
      <c r="D16" s="131">
        <v>702</v>
      </c>
      <c r="E16" s="135">
        <f>[2]начислено!$U$23</f>
        <v>702</v>
      </c>
      <c r="F16" s="131">
        <f>[2]оплата!$U$27</f>
        <v>724.88</v>
      </c>
      <c r="G16" s="133">
        <f t="shared" si="0"/>
        <v>0</v>
      </c>
      <c r="H16" s="134">
        <f t="shared" si="1"/>
        <v>702</v>
      </c>
    </row>
    <row r="17" spans="1:8" ht="18" x14ac:dyDescent="0.25">
      <c r="A17" s="138" t="s">
        <v>94</v>
      </c>
      <c r="B17" s="139">
        <v>10</v>
      </c>
      <c r="C17" s="140">
        <f>D17</f>
        <v>0</v>
      </c>
      <c r="D17" s="140">
        <v>0</v>
      </c>
      <c r="E17" s="135">
        <v>0</v>
      </c>
      <c r="F17" s="131">
        <f>[2]оплата!$U$18</f>
        <v>315.58000000000004</v>
      </c>
      <c r="G17" s="133">
        <f t="shared" si="0"/>
        <v>0</v>
      </c>
      <c r="H17" s="134">
        <f t="shared" si="1"/>
        <v>0</v>
      </c>
    </row>
    <row r="18" spans="1:8" ht="18" x14ac:dyDescent="0.25">
      <c r="A18" s="138" t="s">
        <v>95</v>
      </c>
      <c r="B18" s="139">
        <v>11</v>
      </c>
      <c r="C18" s="140">
        <f>D18</f>
        <v>10550.14</v>
      </c>
      <c r="D18" s="140">
        <v>10550.14</v>
      </c>
      <c r="E18" s="135">
        <f>[2]начислено!$U$15</f>
        <v>10550.14</v>
      </c>
      <c r="F18" s="131">
        <f>[2]оплата!$U$17</f>
        <v>9445.4700000000012</v>
      </c>
      <c r="G18" s="133">
        <f t="shared" si="0"/>
        <v>0</v>
      </c>
      <c r="H18" s="134">
        <f t="shared" si="1"/>
        <v>10550.14</v>
      </c>
    </row>
    <row r="19" spans="1:8" ht="18" x14ac:dyDescent="0.25">
      <c r="A19" s="141" t="s">
        <v>96</v>
      </c>
      <c r="B19" s="139">
        <v>12</v>
      </c>
      <c r="C19" s="140">
        <f>E19</f>
        <v>6336.72</v>
      </c>
      <c r="D19" s="140">
        <f>E19</f>
        <v>6336.72</v>
      </c>
      <c r="E19" s="135">
        <f>[2]начислено!$U$24</f>
        <v>6336.72</v>
      </c>
      <c r="F19" s="131">
        <f>[2]оплата!$U$28</f>
        <v>506.07000000000005</v>
      </c>
      <c r="G19" s="133">
        <f t="shared" si="0"/>
        <v>0</v>
      </c>
      <c r="H19" s="134">
        <v>0</v>
      </c>
    </row>
    <row r="20" spans="1:8" ht="18" x14ac:dyDescent="0.25">
      <c r="A20" s="141" t="s">
        <v>97</v>
      </c>
      <c r="B20" s="139">
        <v>13</v>
      </c>
      <c r="C20" s="140">
        <f>D20</f>
        <v>3818.17</v>
      </c>
      <c r="D20" s="140">
        <f>(1150+230)+(1149+229.8+422+79+558.37)</f>
        <v>3818.17</v>
      </c>
      <c r="E20" s="142">
        <v>0</v>
      </c>
      <c r="F20" s="140">
        <v>2711.94</v>
      </c>
      <c r="G20" s="133">
        <f>D20-E20</f>
        <v>3818.17</v>
      </c>
      <c r="H20" s="134">
        <f t="shared" si="1"/>
        <v>3818.17</v>
      </c>
    </row>
    <row r="21" spans="1:8" ht="18.75" thickBot="1" x14ac:dyDescent="0.3">
      <c r="A21" s="143" t="s">
        <v>98</v>
      </c>
      <c r="B21" s="144">
        <v>14</v>
      </c>
      <c r="C21" s="145">
        <f t="shared" ref="C21:H21" si="2">SUM(C8:C20)</f>
        <v>1641936.1654999997</v>
      </c>
      <c r="D21" s="145">
        <f t="shared" si="2"/>
        <v>1639018.1599999997</v>
      </c>
      <c r="E21" s="145">
        <f t="shared" si="2"/>
        <v>1729534.4599999995</v>
      </c>
      <c r="F21" s="145">
        <f t="shared" si="2"/>
        <v>1701838.77</v>
      </c>
      <c r="G21" s="146">
        <f t="shared" si="2"/>
        <v>-90516.299999999974</v>
      </c>
      <c r="H21" s="146">
        <f t="shared" si="2"/>
        <v>1521291.8420299997</v>
      </c>
    </row>
    <row r="22" spans="1:8" s="150" customFormat="1" ht="18" x14ac:dyDescent="0.25">
      <c r="A22" s="147"/>
      <c r="B22" s="148"/>
      <c r="C22" s="148"/>
      <c r="D22" s="149"/>
      <c r="E22" s="149"/>
      <c r="G22" s="151">
        <f>F21/E21</f>
        <v>0.98398662146344318</v>
      </c>
    </row>
    <row r="23" spans="1:8" s="150" customFormat="1" ht="18" x14ac:dyDescent="0.25">
      <c r="A23" s="152" t="s">
        <v>99</v>
      </c>
      <c r="B23" s="153"/>
      <c r="C23" s="153"/>
      <c r="D23" s="153"/>
      <c r="E23" s="153"/>
      <c r="F23" s="153"/>
      <c r="G23" s="154">
        <f>E21-F21</f>
        <v>27695.689999999478</v>
      </c>
    </row>
    <row r="24" spans="1:8" s="150" customFormat="1" ht="18" x14ac:dyDescent="0.25">
      <c r="A24" s="152" t="s">
        <v>100</v>
      </c>
      <c r="B24" s="153"/>
      <c r="C24" s="153"/>
      <c r="D24" s="153"/>
      <c r="E24" s="153"/>
      <c r="F24" s="153"/>
      <c r="G24" s="155">
        <f>D4+G23</f>
        <v>269968.28999999992</v>
      </c>
    </row>
    <row r="25" spans="1:8" ht="18" x14ac:dyDescent="0.25">
      <c r="A25" s="156" t="s">
        <v>101</v>
      </c>
      <c r="B25" s="157"/>
      <c r="C25" s="157"/>
      <c r="D25" s="157"/>
      <c r="E25" s="157"/>
      <c r="F25" s="157"/>
      <c r="G25" s="158">
        <f>G21+D5</f>
        <v>-129231.45131500006</v>
      </c>
    </row>
    <row r="26" spans="1:8" s="150" customFormat="1" ht="18" x14ac:dyDescent="0.25">
      <c r="A26" s="159" t="s">
        <v>102</v>
      </c>
      <c r="B26" s="160"/>
      <c r="C26" s="161"/>
      <c r="D26" s="161"/>
      <c r="E26" s="161"/>
      <c r="F26" s="161"/>
      <c r="G26" s="162">
        <f>669*4</f>
        <v>2676</v>
      </c>
    </row>
    <row r="27" spans="1:8" s="150" customFormat="1" ht="18" x14ac:dyDescent="0.25">
      <c r="A27" s="159" t="s">
        <v>103</v>
      </c>
      <c r="B27" s="160"/>
      <c r="C27" s="161"/>
      <c r="D27" s="161"/>
      <c r="E27" s="161"/>
      <c r="F27" s="161"/>
      <c r="G27" s="163">
        <f>180*2.5</f>
        <v>450</v>
      </c>
    </row>
    <row r="28" spans="1:8" s="150" customFormat="1" ht="18" x14ac:dyDescent="0.25">
      <c r="A28" s="159" t="s">
        <v>104</v>
      </c>
      <c r="B28" s="160"/>
      <c r="C28" s="161"/>
      <c r="D28" s="161"/>
      <c r="E28" s="161"/>
      <c r="F28" s="161"/>
      <c r="G28" s="163">
        <f>450*4</f>
        <v>1800</v>
      </c>
    </row>
    <row r="29" spans="1:8" ht="18" x14ac:dyDescent="0.25">
      <c r="A29" s="156" t="s">
        <v>105</v>
      </c>
      <c r="B29" s="157"/>
      <c r="C29" s="157"/>
      <c r="D29" s="157"/>
      <c r="E29" s="157"/>
      <c r="F29" s="164"/>
      <c r="G29" s="165">
        <f>G25-G26-G27-G28</f>
        <v>-134157.45131500007</v>
      </c>
    </row>
    <row r="30" spans="1:8" ht="18" x14ac:dyDescent="0.25">
      <c r="A30" s="152" t="s">
        <v>106</v>
      </c>
      <c r="B30" s="166"/>
      <c r="C30" s="166"/>
      <c r="D30" s="166"/>
      <c r="E30" s="166"/>
      <c r="G30" s="167">
        <f>G24+G29</f>
        <v>135810.83868499985</v>
      </c>
    </row>
    <row r="31" spans="1:8" ht="15" x14ac:dyDescent="0.2">
      <c r="A31" s="168" t="s">
        <v>107</v>
      </c>
      <c r="G31" s="169" t="s">
        <v>108</v>
      </c>
    </row>
    <row r="32" spans="1:8" x14ac:dyDescent="0.2">
      <c r="G32" s="170"/>
    </row>
    <row r="33" spans="6:6" x14ac:dyDescent="0.2">
      <c r="F33" s="170"/>
    </row>
  </sheetData>
  <pageMargins left="0.1451388888888889" right="0.26" top="0.17812500000000001" bottom="9.8958333333333329E-3" header="0.5" footer="0.3"/>
  <pageSetup paperSize="9" scale="9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tabSelected="1" view="pageLayout" zoomScaleNormal="100" workbookViewId="0">
      <selection activeCell="E38" sqref="E38"/>
    </sheetView>
  </sheetViews>
  <sheetFormatPr defaultRowHeight="12.75" x14ac:dyDescent="0.2"/>
  <cols>
    <col min="1" max="1" width="3" customWidth="1"/>
    <col min="2" max="2" width="45.140625" customWidth="1"/>
    <col min="3" max="3" width="12.140625" customWidth="1"/>
    <col min="4" max="4" width="5.5703125" customWidth="1"/>
    <col min="5" max="5" width="13" customWidth="1"/>
    <col min="6" max="6" width="12.85546875" customWidth="1"/>
    <col min="7" max="7" width="10.140625" customWidth="1"/>
  </cols>
  <sheetData>
    <row r="1" spans="1:7" ht="15.75" x14ac:dyDescent="0.25">
      <c r="B1" s="1" t="s">
        <v>0</v>
      </c>
      <c r="C1" s="2"/>
      <c r="D1" s="2"/>
      <c r="E1" s="2"/>
    </row>
    <row r="2" spans="1:7" ht="12.75" customHeight="1" x14ac:dyDescent="0.25">
      <c r="B2" s="171" t="s">
        <v>1</v>
      </c>
      <c r="C2" s="171"/>
      <c r="D2" s="2"/>
      <c r="E2" s="2"/>
    </row>
    <row r="3" spans="1:7" ht="16.5" thickBot="1" x14ac:dyDescent="0.3">
      <c r="B3" s="3" t="s">
        <v>2</v>
      </c>
      <c r="C3" s="4"/>
      <c r="D3" s="2"/>
      <c r="E3" s="2"/>
    </row>
    <row r="4" spans="1:7" ht="51.75" thickBot="1" x14ac:dyDescent="0.25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10" t="s">
        <v>8</v>
      </c>
      <c r="G4" s="11" t="s">
        <v>9</v>
      </c>
    </row>
    <row r="5" spans="1:7" ht="13.5" thickBot="1" x14ac:dyDescent="0.25">
      <c r="A5" s="12">
        <v>1</v>
      </c>
      <c r="B5" s="172" t="s">
        <v>10</v>
      </c>
      <c r="C5" s="173"/>
      <c r="D5" s="173"/>
      <c r="E5" s="173"/>
      <c r="F5" s="13"/>
      <c r="G5" s="13"/>
    </row>
    <row r="6" spans="1:7" ht="38.25" x14ac:dyDescent="0.2">
      <c r="A6" s="14">
        <v>2</v>
      </c>
      <c r="B6" s="15" t="s">
        <v>11</v>
      </c>
      <c r="C6" s="16">
        <v>13000</v>
      </c>
      <c r="D6" s="17" t="s">
        <v>12</v>
      </c>
      <c r="E6" s="18">
        <f t="shared" ref="E6:E12" si="0">C6/2729.5/12</f>
        <v>0.39689808878304939</v>
      </c>
      <c r="F6" s="13">
        <f>1943+701+28300+500+210.9</f>
        <v>31654.9</v>
      </c>
      <c r="G6" s="19">
        <f>F6-C6</f>
        <v>18654.900000000001</v>
      </c>
    </row>
    <row r="7" spans="1:7" ht="25.5" x14ac:dyDescent="0.2">
      <c r="A7" s="12">
        <v>3</v>
      </c>
      <c r="B7" s="20" t="s">
        <v>13</v>
      </c>
      <c r="C7" s="21">
        <v>2000</v>
      </c>
      <c r="D7" s="22" t="s">
        <v>12</v>
      </c>
      <c r="E7" s="23">
        <f t="shared" si="0"/>
        <v>6.1061244428161444E-2</v>
      </c>
      <c r="F7" s="13"/>
      <c r="G7" s="19">
        <f t="shared" ref="G7:G40" si="1">F7-C7</f>
        <v>-2000</v>
      </c>
    </row>
    <row r="8" spans="1:7" ht="25.5" x14ac:dyDescent="0.2">
      <c r="A8" s="14">
        <v>4</v>
      </c>
      <c r="B8" s="24" t="s">
        <v>14</v>
      </c>
      <c r="C8" s="21">
        <v>2000</v>
      </c>
      <c r="D8" s="22" t="s">
        <v>12</v>
      </c>
      <c r="E8" s="23">
        <f t="shared" si="0"/>
        <v>6.1061244428161444E-2</v>
      </c>
      <c r="F8" s="13"/>
      <c r="G8" s="19">
        <f t="shared" si="1"/>
        <v>-2000</v>
      </c>
    </row>
    <row r="9" spans="1:7" x14ac:dyDescent="0.2">
      <c r="A9" s="12">
        <v>5</v>
      </c>
      <c r="B9" s="15" t="s">
        <v>15</v>
      </c>
      <c r="C9" s="21">
        <v>3000</v>
      </c>
      <c r="D9" s="22" t="s">
        <v>12</v>
      </c>
      <c r="E9" s="23">
        <f t="shared" si="0"/>
        <v>9.159186664224217E-2</v>
      </c>
      <c r="F9" s="13"/>
      <c r="G9" s="19">
        <f t="shared" si="1"/>
        <v>-3000</v>
      </c>
    </row>
    <row r="10" spans="1:7" ht="14.25" x14ac:dyDescent="0.2">
      <c r="A10" s="14">
        <v>6</v>
      </c>
      <c r="B10" s="25" t="s">
        <v>16</v>
      </c>
      <c r="C10" s="26">
        <f>50000+12000</f>
        <v>62000</v>
      </c>
      <c r="D10" s="27" t="s">
        <v>17</v>
      </c>
      <c r="E10" s="23">
        <f t="shared" si="0"/>
        <v>1.8928985772730049</v>
      </c>
      <c r="F10" s="13">
        <v>10000</v>
      </c>
      <c r="G10" s="19">
        <f t="shared" si="1"/>
        <v>-52000</v>
      </c>
    </row>
    <row r="11" spans="1:7" ht="28.5" x14ac:dyDescent="0.2">
      <c r="A11" s="12">
        <v>7</v>
      </c>
      <c r="B11" s="25" t="s">
        <v>18</v>
      </c>
      <c r="C11" s="28">
        <v>60000</v>
      </c>
      <c r="D11" s="27" t="s">
        <v>17</v>
      </c>
      <c r="E11" s="29">
        <f t="shared" si="0"/>
        <v>1.8318373328448434</v>
      </c>
      <c r="F11" s="30">
        <f>22171.2+420</f>
        <v>22591.200000000001</v>
      </c>
      <c r="G11" s="19">
        <f t="shared" si="1"/>
        <v>-37408.800000000003</v>
      </c>
    </row>
    <row r="12" spans="1:7" ht="13.5" thickBot="1" x14ac:dyDescent="0.25">
      <c r="A12" s="14"/>
      <c r="B12" s="31" t="s">
        <v>19</v>
      </c>
      <c r="C12" s="32">
        <f>SUM(C6:C11)</f>
        <v>142000</v>
      </c>
      <c r="D12" s="33"/>
      <c r="E12" s="34">
        <f t="shared" si="0"/>
        <v>4.3353483543994624</v>
      </c>
      <c r="F12" s="32">
        <f>SUM(F6:F11)</f>
        <v>64246.100000000006</v>
      </c>
      <c r="G12" s="19">
        <f t="shared" si="1"/>
        <v>-77753.899999999994</v>
      </c>
    </row>
    <row r="13" spans="1:7" ht="13.5" thickBot="1" x14ac:dyDescent="0.25">
      <c r="A13" s="12"/>
      <c r="B13" s="172" t="s">
        <v>20</v>
      </c>
      <c r="C13" s="173"/>
      <c r="D13" s="173"/>
      <c r="E13" s="173"/>
      <c r="F13" s="13"/>
      <c r="G13" s="19">
        <f t="shared" si="1"/>
        <v>0</v>
      </c>
    </row>
    <row r="14" spans="1:7" ht="14.25" x14ac:dyDescent="0.2">
      <c r="A14" s="14">
        <v>8</v>
      </c>
      <c r="B14" s="35" t="s">
        <v>21</v>
      </c>
      <c r="C14" s="36">
        <v>12000</v>
      </c>
      <c r="D14" s="37" t="s">
        <v>17</v>
      </c>
      <c r="E14" s="38">
        <f>C14/2729.5/12</f>
        <v>0.36636746656896868</v>
      </c>
      <c r="F14" s="13">
        <v>9633</v>
      </c>
      <c r="G14" s="19">
        <f t="shared" si="1"/>
        <v>-2367</v>
      </c>
    </row>
    <row r="15" spans="1:7" x14ac:dyDescent="0.2">
      <c r="A15" s="14">
        <v>9</v>
      </c>
      <c r="B15" s="39" t="s">
        <v>22</v>
      </c>
      <c r="C15" s="40">
        <v>500</v>
      </c>
      <c r="D15" s="22" t="s">
        <v>12</v>
      </c>
      <c r="E15" s="23">
        <f>C15/2729.5/12</f>
        <v>1.5265311107040361E-2</v>
      </c>
      <c r="F15" s="13">
        <f>19.8+120</f>
        <v>139.80000000000001</v>
      </c>
      <c r="G15" s="19">
        <f t="shared" si="1"/>
        <v>-360.2</v>
      </c>
    </row>
    <row r="16" spans="1:7" x14ac:dyDescent="0.2">
      <c r="A16" s="14">
        <v>10</v>
      </c>
      <c r="B16" s="41" t="s">
        <v>23</v>
      </c>
      <c r="C16" s="42">
        <v>3700</v>
      </c>
      <c r="D16" s="22" t="s">
        <v>12</v>
      </c>
      <c r="E16" s="23">
        <f>C16/2729.5/12</f>
        <v>0.11296330219209867</v>
      </c>
      <c r="F16" s="13">
        <v>3970</v>
      </c>
      <c r="G16" s="19">
        <f t="shared" si="1"/>
        <v>270</v>
      </c>
    </row>
    <row r="17" spans="1:7" x14ac:dyDescent="0.2">
      <c r="A17" s="14"/>
      <c r="B17" s="43" t="s">
        <v>19</v>
      </c>
      <c r="C17" s="44">
        <f>SUM(C14:C16)</f>
        <v>16200</v>
      </c>
      <c r="D17" s="45"/>
      <c r="E17" s="23">
        <f>C17/2729.5/12</f>
        <v>0.49459607986810772</v>
      </c>
      <c r="F17" s="44">
        <f>SUM(F14:F16)</f>
        <v>13742.8</v>
      </c>
      <c r="G17" s="19">
        <f t="shared" si="1"/>
        <v>-2457.2000000000007</v>
      </c>
    </row>
    <row r="18" spans="1:7" x14ac:dyDescent="0.2">
      <c r="A18" s="14"/>
      <c r="B18" s="174" t="s">
        <v>24</v>
      </c>
      <c r="C18" s="175"/>
      <c r="D18" s="175"/>
      <c r="E18" s="175"/>
      <c r="F18" s="13"/>
      <c r="G18" s="19">
        <f t="shared" si="1"/>
        <v>0</v>
      </c>
    </row>
    <row r="19" spans="1:7" ht="28.5" x14ac:dyDescent="0.2">
      <c r="A19" s="46">
        <v>11</v>
      </c>
      <c r="B19" s="47" t="s">
        <v>25</v>
      </c>
      <c r="C19" s="48">
        <v>10000</v>
      </c>
      <c r="D19" s="49" t="s">
        <v>17</v>
      </c>
      <c r="E19" s="50">
        <f>C19/2729.5/12</f>
        <v>0.30530622214080722</v>
      </c>
      <c r="F19" s="13">
        <v>13511</v>
      </c>
      <c r="G19" s="19">
        <f t="shared" si="1"/>
        <v>3511</v>
      </c>
    </row>
    <row r="20" spans="1:7" x14ac:dyDescent="0.2">
      <c r="A20" s="46">
        <v>12</v>
      </c>
      <c r="B20" s="51" t="s">
        <v>26</v>
      </c>
      <c r="C20" s="40">
        <v>4000</v>
      </c>
      <c r="D20" s="22" t="s">
        <v>12</v>
      </c>
      <c r="E20" s="23">
        <f>C20/2729.5/12</f>
        <v>0.12212248885632289</v>
      </c>
      <c r="F20" s="13">
        <v>2430</v>
      </c>
      <c r="G20" s="19">
        <f t="shared" si="1"/>
        <v>-1570</v>
      </c>
    </row>
    <row r="21" spans="1:7" x14ac:dyDescent="0.2">
      <c r="A21" s="46">
        <v>13</v>
      </c>
      <c r="B21" s="51" t="s">
        <v>27</v>
      </c>
      <c r="C21" s="40">
        <f>10000</f>
        <v>10000</v>
      </c>
      <c r="D21" s="22"/>
      <c r="E21" s="23"/>
      <c r="F21" s="13">
        <v>9918.31</v>
      </c>
      <c r="G21" s="19">
        <f t="shared" si="1"/>
        <v>-81.690000000000509</v>
      </c>
    </row>
    <row r="22" spans="1:7" x14ac:dyDescent="0.2">
      <c r="A22" s="46">
        <v>14</v>
      </c>
      <c r="B22" s="43" t="s">
        <v>19</v>
      </c>
      <c r="C22" s="44">
        <f>SUM(C19:C21)</f>
        <v>24000</v>
      </c>
      <c r="D22" s="45"/>
      <c r="E22" s="23">
        <f>C22/2729.5/12</f>
        <v>0.73273493313793736</v>
      </c>
      <c r="F22" s="44">
        <f>SUM(F19:F21)</f>
        <v>25859.309999999998</v>
      </c>
      <c r="G22" s="19">
        <f t="shared" si="1"/>
        <v>1859.3099999999977</v>
      </c>
    </row>
    <row r="23" spans="1:7" x14ac:dyDescent="0.2">
      <c r="A23" s="46">
        <v>15</v>
      </c>
      <c r="B23" s="176" t="s">
        <v>28</v>
      </c>
      <c r="C23" s="177"/>
      <c r="D23" s="177"/>
      <c r="E23" s="177"/>
      <c r="F23" s="13"/>
      <c r="G23" s="19">
        <f t="shared" si="1"/>
        <v>0</v>
      </c>
    </row>
    <row r="24" spans="1:7" x14ac:dyDescent="0.2">
      <c r="A24" s="46">
        <v>16</v>
      </c>
      <c r="B24" s="52" t="s">
        <v>29</v>
      </c>
      <c r="C24" s="53">
        <f>1500*1.33*12+600</f>
        <v>24540</v>
      </c>
      <c r="D24" s="22" t="s">
        <v>12</v>
      </c>
      <c r="E24" s="23">
        <f>C24/2729.5/12</f>
        <v>0.74922146913354093</v>
      </c>
      <c r="F24" s="13">
        <v>18000</v>
      </c>
      <c r="G24" s="19">
        <f t="shared" si="1"/>
        <v>-6540</v>
      </c>
    </row>
    <row r="25" spans="1:7" x14ac:dyDescent="0.2">
      <c r="A25" s="46">
        <v>17</v>
      </c>
      <c r="B25" s="39" t="s">
        <v>30</v>
      </c>
      <c r="C25" s="40">
        <v>500</v>
      </c>
      <c r="D25" s="22" t="s">
        <v>12</v>
      </c>
      <c r="E25" s="23">
        <f>C25/2729.5/12</f>
        <v>1.5265311107040361E-2</v>
      </c>
      <c r="F25" s="13">
        <v>65</v>
      </c>
      <c r="G25" s="19">
        <f t="shared" si="1"/>
        <v>-435</v>
      </c>
    </row>
    <row r="26" spans="1:7" x14ac:dyDescent="0.2">
      <c r="A26" s="46">
        <v>18</v>
      </c>
      <c r="B26" s="51" t="s">
        <v>31</v>
      </c>
      <c r="C26" s="40">
        <f>800*1.33*12+50</f>
        <v>12818</v>
      </c>
      <c r="D26" s="22" t="s">
        <v>12</v>
      </c>
      <c r="E26" s="23">
        <f>C26/2729.5/12</f>
        <v>0.39134151554008673</v>
      </c>
      <c r="F26" s="13">
        <f>8234.9+1771.3</f>
        <v>10006.199999999999</v>
      </c>
      <c r="G26" s="19">
        <f t="shared" si="1"/>
        <v>-2811.8000000000011</v>
      </c>
    </row>
    <row r="27" spans="1:7" ht="13.5" thickBot="1" x14ac:dyDescent="0.25">
      <c r="A27" s="54"/>
      <c r="B27" s="31" t="s">
        <v>19</v>
      </c>
      <c r="C27" s="32">
        <f>SUM(C24:C26)</f>
        <v>37858</v>
      </c>
      <c r="D27" s="33"/>
      <c r="E27" s="34">
        <f>C27/2729.5/12</f>
        <v>1.155828295780668</v>
      </c>
      <c r="F27" s="32">
        <f>SUM(F24:F26)</f>
        <v>28071.199999999997</v>
      </c>
      <c r="G27" s="19">
        <f t="shared" si="1"/>
        <v>-9786.8000000000029</v>
      </c>
    </row>
    <row r="28" spans="1:7" ht="13.5" thickBot="1" x14ac:dyDescent="0.25">
      <c r="A28" s="55"/>
      <c r="B28" s="178" t="s">
        <v>32</v>
      </c>
      <c r="C28" s="179"/>
      <c r="D28" s="179"/>
      <c r="E28" s="179"/>
      <c r="F28" s="13"/>
      <c r="G28" s="19">
        <f t="shared" si="1"/>
        <v>0</v>
      </c>
    </row>
    <row r="29" spans="1:7" x14ac:dyDescent="0.2">
      <c r="A29" s="56">
        <v>19</v>
      </c>
      <c r="B29" s="57" t="s">
        <v>33</v>
      </c>
      <c r="C29" s="58">
        <v>3620</v>
      </c>
      <c r="D29" s="22" t="s">
        <v>12</v>
      </c>
      <c r="E29" s="23">
        <f>C29/2729.5/12</f>
        <v>0.11052085241497223</v>
      </c>
      <c r="F29" s="13">
        <v>3600</v>
      </c>
      <c r="G29" s="19">
        <f t="shared" si="1"/>
        <v>-20</v>
      </c>
    </row>
    <row r="30" spans="1:7" x14ac:dyDescent="0.2">
      <c r="A30" s="56">
        <v>20</v>
      </c>
      <c r="B30" s="57" t="s">
        <v>34</v>
      </c>
      <c r="C30" s="59">
        <v>13000</v>
      </c>
      <c r="D30" s="22" t="s">
        <v>12</v>
      </c>
      <c r="E30" s="23"/>
      <c r="F30" s="13">
        <f>3386+1790.06+3934.12</f>
        <v>9110.18</v>
      </c>
      <c r="G30" s="19">
        <f t="shared" si="1"/>
        <v>-3889.8199999999997</v>
      </c>
    </row>
    <row r="31" spans="1:7" x14ac:dyDescent="0.2">
      <c r="A31" s="56">
        <v>21</v>
      </c>
      <c r="B31" s="52" t="s">
        <v>35</v>
      </c>
      <c r="C31" s="60">
        <f>1.65*2729.5*12</f>
        <v>54044.100000000006</v>
      </c>
      <c r="D31" s="22" t="s">
        <v>12</v>
      </c>
      <c r="E31" s="23">
        <f t="shared" ref="E31:E37" si="2">C31/2729.5/12</f>
        <v>1.6500000000000001</v>
      </c>
      <c r="F31" s="13">
        <v>54073.82</v>
      </c>
      <c r="G31" s="19">
        <f t="shared" si="1"/>
        <v>29.719999999993888</v>
      </c>
    </row>
    <row r="32" spans="1:7" x14ac:dyDescent="0.2">
      <c r="A32" s="56">
        <v>22</v>
      </c>
      <c r="B32" s="61" t="s">
        <v>36</v>
      </c>
      <c r="C32" s="62">
        <f>12*2000</f>
        <v>24000</v>
      </c>
      <c r="D32" s="22" t="s">
        <v>12</v>
      </c>
      <c r="E32" s="23">
        <f t="shared" si="2"/>
        <v>0.73273493313793736</v>
      </c>
      <c r="F32" s="13">
        <v>24000</v>
      </c>
      <c r="G32" s="19">
        <f t="shared" si="1"/>
        <v>0</v>
      </c>
    </row>
    <row r="33" spans="1:7" x14ac:dyDescent="0.2">
      <c r="A33" s="56">
        <v>23</v>
      </c>
      <c r="B33" s="61" t="s">
        <v>37</v>
      </c>
      <c r="C33" s="62">
        <f>12*300</f>
        <v>3600</v>
      </c>
      <c r="D33" s="22" t="s">
        <v>12</v>
      </c>
      <c r="E33" s="23">
        <f t="shared" si="2"/>
        <v>0.1099102399706906</v>
      </c>
      <c r="F33" s="13">
        <v>3600</v>
      </c>
      <c r="G33" s="19">
        <f t="shared" si="1"/>
        <v>0</v>
      </c>
    </row>
    <row r="34" spans="1:7" x14ac:dyDescent="0.2">
      <c r="A34" s="56">
        <v>24</v>
      </c>
      <c r="B34" s="61" t="s">
        <v>38</v>
      </c>
      <c r="C34" s="62">
        <f>0.98*12*2729.5</f>
        <v>32098.92</v>
      </c>
      <c r="D34" s="22" t="s">
        <v>12</v>
      </c>
      <c r="E34" s="23">
        <f t="shared" si="2"/>
        <v>0.98</v>
      </c>
      <c r="F34" s="13">
        <v>31553.01</v>
      </c>
      <c r="G34" s="19">
        <f t="shared" si="1"/>
        <v>-545.90999999999985</v>
      </c>
    </row>
    <row r="35" spans="1:7" x14ac:dyDescent="0.2">
      <c r="A35" s="56">
        <v>25</v>
      </c>
      <c r="B35" s="63" t="s">
        <v>39</v>
      </c>
      <c r="C35" s="40">
        <f>12*12*54+12*54*10</f>
        <v>14256</v>
      </c>
      <c r="D35" s="22" t="s">
        <v>12</v>
      </c>
      <c r="E35" s="23">
        <f t="shared" si="2"/>
        <v>0.43524455028393477</v>
      </c>
      <c r="F35" s="13">
        <v>7776</v>
      </c>
      <c r="G35" s="19">
        <f t="shared" si="1"/>
        <v>-6480</v>
      </c>
    </row>
    <row r="36" spans="1:7" x14ac:dyDescent="0.2">
      <c r="A36" s="56">
        <v>26</v>
      </c>
      <c r="B36" s="63" t="s">
        <v>40</v>
      </c>
      <c r="C36" s="64">
        <f>7.9*52*12</f>
        <v>4929.6000000000004</v>
      </c>
      <c r="D36" s="22" t="s">
        <v>12</v>
      </c>
      <c r="E36" s="23">
        <f t="shared" si="2"/>
        <v>0.15050375526653234</v>
      </c>
      <c r="F36" s="13">
        <v>4698.12</v>
      </c>
      <c r="G36" s="19">
        <f t="shared" si="1"/>
        <v>-231.48000000000047</v>
      </c>
    </row>
    <row r="37" spans="1:7" x14ac:dyDescent="0.2">
      <c r="A37" s="56">
        <v>27</v>
      </c>
      <c r="B37" s="24" t="s">
        <v>41</v>
      </c>
      <c r="C37" s="40">
        <v>30000</v>
      </c>
      <c r="D37" s="22" t="s">
        <v>12</v>
      </c>
      <c r="E37" s="23">
        <f t="shared" si="2"/>
        <v>0.9159186664224217</v>
      </c>
      <c r="F37" s="13">
        <f>1366+224+11659+375+200+557+288+200+145+12101+5976+1278+1715+10+70+320+4759.2</f>
        <v>41243.199999999997</v>
      </c>
      <c r="G37" s="19">
        <f t="shared" si="1"/>
        <v>11243.199999999997</v>
      </c>
    </row>
    <row r="38" spans="1:7" ht="25.5" x14ac:dyDescent="0.2">
      <c r="A38" s="65"/>
      <c r="B38" s="66" t="s">
        <v>42</v>
      </c>
      <c r="C38" s="67">
        <v>0</v>
      </c>
      <c r="D38" s="68"/>
      <c r="E38" s="34"/>
      <c r="F38" s="13"/>
      <c r="G38" s="19"/>
    </row>
    <row r="39" spans="1:7" ht="13.5" thickBot="1" x14ac:dyDescent="0.25">
      <c r="A39" s="65"/>
      <c r="B39" s="31" t="s">
        <v>19</v>
      </c>
      <c r="C39" s="32">
        <f>SUM(C29:C38)</f>
        <v>179548.62000000002</v>
      </c>
      <c r="D39" s="33"/>
      <c r="E39" s="34">
        <f>C39/2729.5/12</f>
        <v>5.481731086279539</v>
      </c>
      <c r="F39" s="32">
        <f>SUM(F29:F38)</f>
        <v>179654.33000000002</v>
      </c>
      <c r="G39" s="19">
        <f t="shared" si="1"/>
        <v>105.70999999999185</v>
      </c>
    </row>
    <row r="40" spans="1:7" ht="16.5" thickBot="1" x14ac:dyDescent="0.25">
      <c r="A40" s="69"/>
      <c r="B40" s="70" t="s">
        <v>43</v>
      </c>
      <c r="C40" s="71">
        <f>C12+C17+C22+C27+C39</f>
        <v>399606.62</v>
      </c>
      <c r="D40" s="71"/>
      <c r="E40" s="72">
        <f>C40/2729.5/12-0.2</f>
        <v>12.000238749465714</v>
      </c>
      <c r="F40" s="71">
        <f>F12+F17+F22+F27+F39</f>
        <v>311573.74</v>
      </c>
      <c r="G40" s="19">
        <f t="shared" si="1"/>
        <v>-88032.88</v>
      </c>
    </row>
    <row r="42" spans="1:7" x14ac:dyDescent="0.2">
      <c r="F42" s="73"/>
    </row>
  </sheetData>
  <mergeCells count="6">
    <mergeCell ref="B28:E28"/>
    <mergeCell ref="B2:C2"/>
    <mergeCell ref="B5:E5"/>
    <mergeCell ref="B13:E13"/>
    <mergeCell ref="B18:E18"/>
    <mergeCell ref="B23:E23"/>
  </mergeCells>
  <pageMargins left="3.125E-2" right="7.2916666666666671E-2" top="9.375E-2" bottom="0.15625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0"/>
  <sheetViews>
    <sheetView showWhiteSpace="0" view="pageLayout" topLeftCell="A23" zoomScaleNormal="100" workbookViewId="0">
      <selection sqref="A1:F47"/>
    </sheetView>
  </sheetViews>
  <sheetFormatPr defaultRowHeight="12.75" x14ac:dyDescent="0.2"/>
  <cols>
    <col min="1" max="1" width="6.42578125" customWidth="1"/>
    <col min="2" max="2" width="45.7109375" customWidth="1"/>
    <col min="3" max="3" width="12.85546875" customWidth="1"/>
    <col min="4" max="4" width="8.42578125" customWidth="1"/>
    <col min="5" max="5" width="8.5703125" customWidth="1"/>
    <col min="6" max="6" width="13" customWidth="1"/>
  </cols>
  <sheetData>
    <row r="1" spans="1:6" ht="15.75" x14ac:dyDescent="0.25">
      <c r="B1" s="3" t="s">
        <v>44</v>
      </c>
      <c r="C1" s="2"/>
      <c r="D1" s="2"/>
      <c r="E1" s="2"/>
      <c r="F1" s="2"/>
    </row>
    <row r="2" spans="1:6" ht="15.75" x14ac:dyDescent="0.25">
      <c r="B2" s="74" t="s">
        <v>45</v>
      </c>
      <c r="C2" s="2"/>
      <c r="D2" s="2"/>
      <c r="E2" s="2"/>
      <c r="F2" s="2"/>
    </row>
    <row r="3" spans="1:6" ht="16.5" thickBot="1" x14ac:dyDescent="0.3">
      <c r="B3" s="3" t="s">
        <v>46</v>
      </c>
      <c r="C3" s="4"/>
      <c r="D3" s="2"/>
      <c r="E3" s="2">
        <v>2729.5</v>
      </c>
      <c r="F3" s="2"/>
    </row>
    <row r="4" spans="1:6" ht="36.75" customHeight="1" thickBot="1" x14ac:dyDescent="0.25">
      <c r="A4" s="5" t="s">
        <v>3</v>
      </c>
      <c r="B4" s="6" t="s">
        <v>4</v>
      </c>
      <c r="C4" s="7" t="s">
        <v>5</v>
      </c>
      <c r="D4" s="8" t="s">
        <v>6</v>
      </c>
      <c r="E4" s="75"/>
      <c r="F4" s="76" t="s">
        <v>7</v>
      </c>
    </row>
    <row r="5" spans="1:6" ht="13.5" thickBot="1" x14ac:dyDescent="0.25">
      <c r="A5" s="12"/>
      <c r="B5" s="172" t="s">
        <v>10</v>
      </c>
      <c r="C5" s="173"/>
      <c r="D5" s="173"/>
      <c r="E5" s="173"/>
      <c r="F5" s="180"/>
    </row>
    <row r="6" spans="1:6" ht="42" customHeight="1" x14ac:dyDescent="0.2">
      <c r="A6" s="14">
        <v>1</v>
      </c>
      <c r="B6" s="15" t="s">
        <v>47</v>
      </c>
      <c r="C6" s="16">
        <f>1700+300*5+17000</f>
        <v>20200</v>
      </c>
      <c r="D6" s="77" t="s">
        <v>12</v>
      </c>
      <c r="E6" s="78"/>
      <c r="F6" s="79">
        <f t="shared" ref="F6:F15" si="0">C6/2729.5/12</f>
        <v>0.61671856872443065</v>
      </c>
    </row>
    <row r="7" spans="1:6" ht="25.5" x14ac:dyDescent="0.2">
      <c r="A7" s="14">
        <v>2</v>
      </c>
      <c r="B7" s="20" t="s">
        <v>48</v>
      </c>
      <c r="C7" s="21">
        <f>50*82+10*500</f>
        <v>9100</v>
      </c>
      <c r="D7" s="22" t="s">
        <v>12</v>
      </c>
      <c r="E7" s="80"/>
      <c r="F7" s="81">
        <f t="shared" si="0"/>
        <v>0.27782866214813456</v>
      </c>
    </row>
    <row r="8" spans="1:6" ht="25.5" customHeight="1" x14ac:dyDescent="0.2">
      <c r="A8" s="14">
        <v>3</v>
      </c>
      <c r="B8" s="20" t="s">
        <v>49</v>
      </c>
      <c r="C8" s="21">
        <v>5000</v>
      </c>
      <c r="D8" s="22" t="s">
        <v>12</v>
      </c>
      <c r="E8" s="80"/>
      <c r="F8" s="81">
        <f t="shared" si="0"/>
        <v>0.15265311107040361</v>
      </c>
    </row>
    <row r="9" spans="1:6" ht="16.5" customHeight="1" x14ac:dyDescent="0.2">
      <c r="A9" s="14">
        <v>4</v>
      </c>
      <c r="B9" s="24" t="s">
        <v>14</v>
      </c>
      <c r="C9" s="21">
        <v>2000</v>
      </c>
      <c r="D9" s="22" t="s">
        <v>12</v>
      </c>
      <c r="E9" s="80"/>
      <c r="F9" s="81">
        <f>C9/2729.5/12</f>
        <v>6.1061244428161444E-2</v>
      </c>
    </row>
    <row r="10" spans="1:6" ht="16.5" customHeight="1" x14ac:dyDescent="0.2">
      <c r="A10" s="14">
        <v>5</v>
      </c>
      <c r="B10" s="15" t="s">
        <v>15</v>
      </c>
      <c r="C10" s="21">
        <v>3000</v>
      </c>
      <c r="D10" s="22" t="s">
        <v>12</v>
      </c>
      <c r="E10" s="80"/>
      <c r="F10" s="81">
        <f>C10/2729.5/12</f>
        <v>9.159186664224217E-2</v>
      </c>
    </row>
    <row r="11" spans="1:6" ht="16.5" customHeight="1" x14ac:dyDescent="0.2">
      <c r="A11" s="14">
        <v>6</v>
      </c>
      <c r="B11" s="20" t="s">
        <v>50</v>
      </c>
      <c r="C11" s="82">
        <v>600</v>
      </c>
      <c r="D11" s="22"/>
      <c r="E11" s="80"/>
      <c r="F11" s="81">
        <f>C11/2729.5/12</f>
        <v>1.8318373328448434E-2</v>
      </c>
    </row>
    <row r="12" spans="1:6" ht="16.5" customHeight="1" x14ac:dyDescent="0.2">
      <c r="A12" s="14">
        <v>7</v>
      </c>
      <c r="B12" s="20" t="s">
        <v>51</v>
      </c>
      <c r="C12" s="82">
        <v>5000</v>
      </c>
      <c r="D12" s="22"/>
      <c r="E12" s="80"/>
      <c r="F12" s="81">
        <f>C12/2729.5/12</f>
        <v>0.15265311107040361</v>
      </c>
    </row>
    <row r="13" spans="1:6" ht="16.5" customHeight="1" x14ac:dyDescent="0.2">
      <c r="A13" s="14">
        <v>8</v>
      </c>
      <c r="B13" s="25" t="s">
        <v>52</v>
      </c>
      <c r="C13" s="26">
        <v>37500</v>
      </c>
      <c r="D13" s="27" t="s">
        <v>17</v>
      </c>
      <c r="E13" s="80"/>
      <c r="F13" s="81">
        <f t="shared" ref="F13" si="1">C13/2729.5/12</f>
        <v>1.1448983330280271</v>
      </c>
    </row>
    <row r="14" spans="1:6" ht="16.5" customHeight="1" x14ac:dyDescent="0.2">
      <c r="A14" s="83">
        <v>0</v>
      </c>
      <c r="B14" s="84" t="s">
        <v>53</v>
      </c>
      <c r="C14" s="85">
        <f>139000</f>
        <v>139000</v>
      </c>
      <c r="D14" s="86" t="s">
        <v>17</v>
      </c>
      <c r="E14" s="87"/>
      <c r="F14" s="88">
        <f t="shared" si="0"/>
        <v>4.2437564877572207</v>
      </c>
    </row>
    <row r="15" spans="1:6" ht="13.5" thickBot="1" x14ac:dyDescent="0.25">
      <c r="A15" s="14"/>
      <c r="B15" s="31" t="s">
        <v>19</v>
      </c>
      <c r="C15" s="32">
        <f>SUM(C6:C14)</f>
        <v>221400</v>
      </c>
      <c r="D15" s="33"/>
      <c r="E15" s="89"/>
      <c r="F15" s="90">
        <f t="shared" si="0"/>
        <v>6.7594797581974717</v>
      </c>
    </row>
    <row r="16" spans="1:6" ht="13.5" thickBot="1" x14ac:dyDescent="0.25">
      <c r="A16" s="12"/>
      <c r="B16" s="172" t="s">
        <v>20</v>
      </c>
      <c r="C16" s="173"/>
      <c r="D16" s="173"/>
      <c r="E16" s="173"/>
      <c r="F16" s="180"/>
    </row>
    <row r="17" spans="1:6" x14ac:dyDescent="0.2">
      <c r="A17" s="14">
        <v>9</v>
      </c>
      <c r="B17" s="39" t="s">
        <v>22</v>
      </c>
      <c r="C17" s="40">
        <v>500</v>
      </c>
      <c r="D17" s="22" t="s">
        <v>12</v>
      </c>
      <c r="E17" s="80"/>
      <c r="F17" s="81">
        <f>C17/2729.5/12</f>
        <v>1.5265311107040361E-2</v>
      </c>
    </row>
    <row r="18" spans="1:6" x14ac:dyDescent="0.2">
      <c r="A18" s="14">
        <v>10</v>
      </c>
      <c r="B18" s="91" t="s">
        <v>54</v>
      </c>
      <c r="C18" s="42">
        <f>4800*2</f>
        <v>9600</v>
      </c>
      <c r="D18" s="22" t="s">
        <v>12</v>
      </c>
      <c r="E18" s="80"/>
      <c r="F18" s="81">
        <f>C18/2729.5/12</f>
        <v>0.29309397325517494</v>
      </c>
    </row>
    <row r="19" spans="1:6" x14ac:dyDescent="0.2">
      <c r="A19" s="14"/>
      <c r="B19" s="43" t="s">
        <v>19</v>
      </c>
      <c r="C19" s="44">
        <f>SUM(C17:C18)</f>
        <v>10100</v>
      </c>
      <c r="D19" s="45"/>
      <c r="E19" s="92"/>
      <c r="F19" s="81">
        <f>C19/2729.5/12</f>
        <v>0.30835928436221532</v>
      </c>
    </row>
    <row r="20" spans="1:6" ht="15" customHeight="1" x14ac:dyDescent="0.2">
      <c r="A20" s="14"/>
      <c r="B20" s="174" t="s">
        <v>24</v>
      </c>
      <c r="C20" s="175"/>
      <c r="D20" s="175"/>
      <c r="E20" s="175"/>
      <c r="F20" s="181"/>
    </row>
    <row r="21" spans="1:6" ht="14.25" x14ac:dyDescent="0.2">
      <c r="A21" s="46">
        <v>11</v>
      </c>
      <c r="B21" s="47" t="s">
        <v>55</v>
      </c>
      <c r="C21" s="48">
        <v>5000</v>
      </c>
      <c r="D21" s="49" t="s">
        <v>17</v>
      </c>
      <c r="E21" s="93"/>
      <c r="F21" s="94">
        <f>C21/2729.5/12</f>
        <v>0.15265311107040361</v>
      </c>
    </row>
    <row r="22" spans="1:6" x14ac:dyDescent="0.2">
      <c r="A22" s="46">
        <v>12</v>
      </c>
      <c r="B22" s="51" t="s">
        <v>56</v>
      </c>
      <c r="C22" s="40">
        <f>54*90*1.5</f>
        <v>7290</v>
      </c>
      <c r="D22" s="22" t="s">
        <v>12</v>
      </c>
      <c r="E22" s="80"/>
      <c r="F22" s="81">
        <f>C22/2729.5/12</f>
        <v>0.22256823594064848</v>
      </c>
    </row>
    <row r="23" spans="1:6" ht="14.25" x14ac:dyDescent="0.2">
      <c r="A23" s="46">
        <v>13</v>
      </c>
      <c r="B23" s="51" t="s">
        <v>57</v>
      </c>
      <c r="C23" s="40">
        <f>10000</f>
        <v>10000</v>
      </c>
      <c r="D23" s="49" t="s">
        <v>17</v>
      </c>
      <c r="E23" s="80"/>
      <c r="F23" s="81">
        <f t="shared" ref="F23:F25" si="2">C23/2729.5/12</f>
        <v>0.30530622214080722</v>
      </c>
    </row>
    <row r="24" spans="1:6" ht="14.25" x14ac:dyDescent="0.2">
      <c r="A24" s="46">
        <v>14</v>
      </c>
      <c r="B24" s="51" t="s">
        <v>58</v>
      </c>
      <c r="C24" s="40">
        <v>100000</v>
      </c>
      <c r="D24" s="49" t="s">
        <v>17</v>
      </c>
      <c r="E24" s="80"/>
      <c r="F24" s="81">
        <f t="shared" si="2"/>
        <v>3.0530622214080725</v>
      </c>
    </row>
    <row r="25" spans="1:6" ht="14.25" x14ac:dyDescent="0.2">
      <c r="A25" s="46">
        <v>15</v>
      </c>
      <c r="B25" s="51" t="s">
        <v>59</v>
      </c>
      <c r="C25" s="40">
        <f>7*10150</f>
        <v>71050</v>
      </c>
      <c r="D25" s="49" t="s">
        <v>17</v>
      </c>
      <c r="E25" s="80"/>
      <c r="F25" s="81">
        <f t="shared" si="2"/>
        <v>2.1692007083104357</v>
      </c>
    </row>
    <row r="26" spans="1:6" x14ac:dyDescent="0.2">
      <c r="A26" s="54"/>
      <c r="B26" s="43" t="s">
        <v>19</v>
      </c>
      <c r="C26" s="44">
        <f>SUM(C21:C25)</f>
        <v>193340</v>
      </c>
      <c r="D26" s="45"/>
      <c r="E26" s="92"/>
      <c r="F26" s="81">
        <f>C26/2729.5/12</f>
        <v>5.9027904988703668</v>
      </c>
    </row>
    <row r="27" spans="1:6" x14ac:dyDescent="0.2">
      <c r="A27" s="54"/>
      <c r="B27" s="176" t="s">
        <v>28</v>
      </c>
      <c r="C27" s="177"/>
      <c r="D27" s="177"/>
      <c r="E27" s="177"/>
      <c r="F27" s="182"/>
    </row>
    <row r="28" spans="1:6" x14ac:dyDescent="0.2">
      <c r="A28" s="46">
        <v>16</v>
      </c>
      <c r="B28" s="52" t="s">
        <v>29</v>
      </c>
      <c r="C28" s="53">
        <f>1500*1.33*12+600</f>
        <v>24540</v>
      </c>
      <c r="D28" s="22" t="s">
        <v>12</v>
      </c>
      <c r="E28" s="80"/>
      <c r="F28" s="81">
        <f>C28/2729.5/12</f>
        <v>0.74922146913354093</v>
      </c>
    </row>
    <row r="29" spans="1:6" x14ac:dyDescent="0.2">
      <c r="A29" s="46">
        <v>17</v>
      </c>
      <c r="B29" s="39" t="s">
        <v>30</v>
      </c>
      <c r="C29" s="40">
        <v>500</v>
      </c>
      <c r="D29" s="22" t="s">
        <v>12</v>
      </c>
      <c r="E29" s="80"/>
      <c r="F29" s="81">
        <f>C29/2729.5/12</f>
        <v>1.5265311107040361E-2</v>
      </c>
    </row>
    <row r="30" spans="1:6" x14ac:dyDescent="0.2">
      <c r="A30" s="46">
        <v>18</v>
      </c>
      <c r="B30" s="51" t="s">
        <v>31</v>
      </c>
      <c r="C30" s="40">
        <f>1000*1.33*12+50</f>
        <v>16010</v>
      </c>
      <c r="D30" s="22" t="s">
        <v>12</v>
      </c>
      <c r="E30" s="80"/>
      <c r="F30" s="81">
        <f>C30/2729.5/12</f>
        <v>0.48879526164743242</v>
      </c>
    </row>
    <row r="31" spans="1:6" ht="13.5" thickBot="1" x14ac:dyDescent="0.25">
      <c r="A31" s="46"/>
      <c r="B31" s="31" t="s">
        <v>19</v>
      </c>
      <c r="C31" s="32">
        <f>SUM(C28:C30)</f>
        <v>41050</v>
      </c>
      <c r="D31" s="33"/>
      <c r="E31" s="89"/>
      <c r="F31" s="90">
        <f>C31/2729.5/12</f>
        <v>1.2532820418880137</v>
      </c>
    </row>
    <row r="32" spans="1:6" ht="13.5" thickBot="1" x14ac:dyDescent="0.25">
      <c r="A32" s="95"/>
      <c r="B32" s="178" t="s">
        <v>32</v>
      </c>
      <c r="C32" s="179"/>
      <c r="D32" s="179"/>
      <c r="E32" s="179"/>
      <c r="F32" s="183"/>
    </row>
    <row r="33" spans="1:7" x14ac:dyDescent="0.2">
      <c r="A33" s="56">
        <v>19</v>
      </c>
      <c r="B33" s="57" t="s">
        <v>33</v>
      </c>
      <c r="C33" s="59">
        <v>12510.4</v>
      </c>
      <c r="D33" s="22" t="s">
        <v>12</v>
      </c>
      <c r="E33" s="22"/>
      <c r="F33" s="96">
        <f>C33/2729.5/12</f>
        <v>0.38195029614703552</v>
      </c>
    </row>
    <row r="34" spans="1:7" x14ac:dyDescent="0.2">
      <c r="A34" s="56">
        <v>20</v>
      </c>
      <c r="B34" s="57" t="s">
        <v>60</v>
      </c>
      <c r="C34" s="59">
        <v>30000</v>
      </c>
      <c r="D34" s="22" t="s">
        <v>12</v>
      </c>
      <c r="E34" s="22"/>
      <c r="F34" s="96">
        <f>C34/2729.5/12</f>
        <v>0.9159186664224217</v>
      </c>
    </row>
    <row r="35" spans="1:7" x14ac:dyDescent="0.2">
      <c r="A35" s="56">
        <v>21</v>
      </c>
      <c r="B35" s="52" t="s">
        <v>35</v>
      </c>
      <c r="C35" s="60">
        <f>1.89*2729.5*12</f>
        <v>61905.06</v>
      </c>
      <c r="D35" s="22" t="s">
        <v>12</v>
      </c>
      <c r="E35" s="22"/>
      <c r="F35" s="96">
        <f t="shared" ref="F35:F43" si="3">C35/2729.5/12</f>
        <v>1.89</v>
      </c>
    </row>
    <row r="36" spans="1:7" x14ac:dyDescent="0.2">
      <c r="A36" s="56">
        <v>22</v>
      </c>
      <c r="B36" s="61" t="s">
        <v>36</v>
      </c>
      <c r="C36" s="62">
        <f>12*2200</f>
        <v>26400</v>
      </c>
      <c r="D36" s="22" t="s">
        <v>12</v>
      </c>
      <c r="E36" s="80"/>
      <c r="F36" s="81">
        <f t="shared" si="3"/>
        <v>0.8060084264517311</v>
      </c>
    </row>
    <row r="37" spans="1:7" x14ac:dyDescent="0.2">
      <c r="A37" s="56">
        <v>23</v>
      </c>
      <c r="B37" s="61" t="s">
        <v>37</v>
      </c>
      <c r="C37" s="62">
        <f>12*(300+100)</f>
        <v>4800</v>
      </c>
      <c r="D37" s="22" t="s">
        <v>12</v>
      </c>
      <c r="E37" s="80"/>
      <c r="F37" s="81">
        <f>C37/2729.5/12</f>
        <v>0.14654698662758747</v>
      </c>
    </row>
    <row r="38" spans="1:7" x14ac:dyDescent="0.2">
      <c r="A38" s="56">
        <v>24</v>
      </c>
      <c r="B38" s="61" t="s">
        <v>38</v>
      </c>
      <c r="C38" s="62">
        <f>1.07*12*2729.5</f>
        <v>35046.78</v>
      </c>
      <c r="D38" s="22" t="s">
        <v>12</v>
      </c>
      <c r="E38" s="80"/>
      <c r="F38" s="81">
        <f t="shared" si="3"/>
        <v>1.07</v>
      </c>
    </row>
    <row r="39" spans="1:7" x14ac:dyDescent="0.2">
      <c r="A39" s="56">
        <v>25</v>
      </c>
      <c r="B39" s="63" t="s">
        <v>39</v>
      </c>
      <c r="C39" s="40">
        <f>12*14*54</f>
        <v>9072</v>
      </c>
      <c r="D39" s="22" t="s">
        <v>12</v>
      </c>
      <c r="E39" s="80"/>
      <c r="F39" s="81">
        <f t="shared" si="3"/>
        <v>0.2769738047261403</v>
      </c>
    </row>
    <row r="40" spans="1:7" x14ac:dyDescent="0.2">
      <c r="A40" s="56">
        <v>26</v>
      </c>
      <c r="B40" s="63" t="s">
        <v>40</v>
      </c>
      <c r="C40" s="64">
        <f>8*54*12</f>
        <v>5184</v>
      </c>
      <c r="D40" s="22" t="s">
        <v>12</v>
      </c>
      <c r="E40" s="80"/>
      <c r="F40" s="81">
        <f>C40/2729.5/12</f>
        <v>0.15827074555779447</v>
      </c>
    </row>
    <row r="41" spans="1:7" x14ac:dyDescent="0.2">
      <c r="A41" s="56">
        <v>27</v>
      </c>
      <c r="B41" s="97" t="s">
        <v>61</v>
      </c>
      <c r="C41" s="98">
        <f>12*0.75*2729.5</f>
        <v>24565.5</v>
      </c>
      <c r="D41" s="99" t="s">
        <v>12</v>
      </c>
      <c r="E41" s="100"/>
      <c r="F41" s="101">
        <f>C41/2729.5/12</f>
        <v>0.75</v>
      </c>
    </row>
    <row r="42" spans="1:7" x14ac:dyDescent="0.2">
      <c r="A42" s="56">
        <v>28</v>
      </c>
      <c r="B42" s="24" t="s">
        <v>41</v>
      </c>
      <c r="C42" s="40">
        <f>25000+3000+4700</f>
        <v>32700</v>
      </c>
      <c r="D42" s="22" t="s">
        <v>12</v>
      </c>
      <c r="E42" s="80"/>
      <c r="F42" s="81">
        <f t="shared" ref="F42" si="4">C42/2729.5/12</f>
        <v>0.99835134640043954</v>
      </c>
    </row>
    <row r="43" spans="1:7" ht="25.5" x14ac:dyDescent="0.2">
      <c r="A43" s="56">
        <v>29</v>
      </c>
      <c r="B43" s="51" t="s">
        <v>62</v>
      </c>
      <c r="C43" s="102">
        <v>-135810</v>
      </c>
      <c r="D43" s="22" t="s">
        <v>12</v>
      </c>
      <c r="E43" s="80"/>
      <c r="F43" s="81">
        <f t="shared" si="3"/>
        <v>-4.1463638028943031</v>
      </c>
    </row>
    <row r="44" spans="1:7" ht="13.5" thickBot="1" x14ac:dyDescent="0.25">
      <c r="A44" s="65"/>
      <c r="B44" s="31" t="s">
        <v>19</v>
      </c>
      <c r="C44" s="32">
        <f>SUM(C33:C43)</f>
        <v>106373.73999999999</v>
      </c>
      <c r="D44" s="33"/>
      <c r="E44" s="89"/>
      <c r="F44" s="90">
        <f>C44/2729.5/12</f>
        <v>3.2476564694388466</v>
      </c>
    </row>
    <row r="45" spans="1:7" ht="16.5" thickBot="1" x14ac:dyDescent="0.25">
      <c r="A45" s="69"/>
      <c r="B45" s="70" t="s">
        <v>43</v>
      </c>
      <c r="C45" s="71">
        <f>C15+C19+C26+C31+C44</f>
        <v>572263.74</v>
      </c>
      <c r="D45" s="71"/>
      <c r="E45" s="103"/>
      <c r="F45" s="104">
        <f>C45/2729.5/12</f>
        <v>17.471568052756915</v>
      </c>
      <c r="G45" s="105"/>
    </row>
    <row r="46" spans="1:7" ht="15" x14ac:dyDescent="0.2">
      <c r="F46" s="106">
        <f>F45-F41-F14</f>
        <v>12.477811564999694</v>
      </c>
    </row>
    <row r="47" spans="1:7" x14ac:dyDescent="0.2">
      <c r="F47" s="107"/>
    </row>
    <row r="48" spans="1:7" x14ac:dyDescent="0.2">
      <c r="B48" t="s">
        <v>63</v>
      </c>
      <c r="F48" s="108"/>
    </row>
    <row r="50" spans="2:6" x14ac:dyDescent="0.2">
      <c r="B50" t="s">
        <v>64</v>
      </c>
    </row>
    <row r="52" spans="2:6" x14ac:dyDescent="0.2">
      <c r="B52" t="s">
        <v>65</v>
      </c>
      <c r="E52" t="s">
        <v>66</v>
      </c>
    </row>
    <row r="54" spans="2:6" x14ac:dyDescent="0.2">
      <c r="B54" t="s">
        <v>67</v>
      </c>
      <c r="C54">
        <v>23895</v>
      </c>
    </row>
    <row r="56" spans="2:6" x14ac:dyDescent="0.2">
      <c r="B56" t="s">
        <v>68</v>
      </c>
      <c r="C56">
        <v>5000</v>
      </c>
    </row>
    <row r="57" spans="2:6" x14ac:dyDescent="0.2">
      <c r="E57" s="107"/>
    </row>
    <row r="59" spans="2:6" x14ac:dyDescent="0.2">
      <c r="B59" t="s">
        <v>69</v>
      </c>
      <c r="C59">
        <v>7800</v>
      </c>
    </row>
    <row r="60" spans="2:6" x14ac:dyDescent="0.2">
      <c r="B60" t="s">
        <v>70</v>
      </c>
      <c r="C60">
        <v>10150</v>
      </c>
    </row>
  </sheetData>
  <mergeCells count="5">
    <mergeCell ref="B5:F5"/>
    <mergeCell ref="B16:F16"/>
    <mergeCell ref="B20:F20"/>
    <mergeCell ref="B27:F27"/>
    <mergeCell ref="B32:F32"/>
  </mergeCells>
  <pageMargins left="0.125" right="0.17708333333333334" top="9.375E-2" bottom="0.15625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2014</vt:lpstr>
      <vt:lpstr>ОТЧЕТ 2014 (СОДЕРЖАНИЕ)</vt:lpstr>
      <vt:lpstr>на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2015-03-25T11:49:14Z</dcterms:created>
  <dcterms:modified xsi:type="dcterms:W3CDTF">2015-04-01T06:26:23Z</dcterms:modified>
</cp:coreProperties>
</file>